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11 29 3644 Соломбала, Октябрьский, Северный, Ломоносовский\Лот № 6 Ломоносовский УК Архангельск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  <definedName name="_xlnm.Print_Area" localSheetId="0">лот1!$A$1:$AW$48</definedName>
  </definedNames>
  <calcPr calcId="152511"/>
</workbook>
</file>

<file path=xl/calcChain.xml><?xml version="1.0" encoding="utf-8"?>
<calcChain xmlns="http://schemas.openxmlformats.org/spreadsheetml/2006/main">
  <c r="AU38" i="3" l="1"/>
  <c r="AU37" i="3"/>
  <c r="AT37" i="3"/>
  <c r="AS38" i="3"/>
  <c r="AS37" i="3"/>
  <c r="AI35" i="3"/>
  <c r="AJ35" i="3"/>
  <c r="AJ21" i="3"/>
  <c r="AJ18" i="3"/>
  <c r="AI18" i="3"/>
  <c r="AJ17" i="3"/>
  <c r="AJ15" i="3"/>
  <c r="AI17" i="3"/>
  <c r="AI15" i="3"/>
  <c r="AI30" i="3"/>
  <c r="AI29" i="3" s="1"/>
  <c r="AI25" i="3"/>
  <c r="AI9" i="3"/>
  <c r="AR36" i="3"/>
  <c r="AN36" i="3"/>
  <c r="W36" i="3"/>
  <c r="X36" i="3"/>
  <c r="Y36" i="3"/>
  <c r="AJ36" i="3"/>
  <c r="Z36" i="3"/>
  <c r="AC36" i="3"/>
  <c r="AD36" i="3"/>
  <c r="AE36" i="3"/>
  <c r="AF36" i="3"/>
  <c r="AG36" i="3"/>
  <c r="AH36" i="3"/>
  <c r="V36" i="3"/>
  <c r="W10" i="3"/>
  <c r="W9" i="3" s="1"/>
  <c r="X10" i="3"/>
  <c r="Y10" i="3"/>
  <c r="AJ10" i="3"/>
  <c r="Z10" i="3"/>
  <c r="AA10" i="3"/>
  <c r="AB10" i="3"/>
  <c r="AB9" i="3" s="1"/>
  <c r="AC10" i="3"/>
  <c r="AD10" i="3"/>
  <c r="AE10" i="3"/>
  <c r="AF10" i="3"/>
  <c r="AF9" i="3" s="1"/>
  <c r="AG10" i="3"/>
  <c r="AH10" i="3"/>
  <c r="AH9" i="3" s="1"/>
  <c r="W11" i="3"/>
  <c r="X11" i="3"/>
  <c r="Y11" i="3"/>
  <c r="AJ11" i="3"/>
  <c r="Z11" i="3"/>
  <c r="AA11" i="3"/>
  <c r="AB11" i="3"/>
  <c r="AC11" i="3"/>
  <c r="AD11" i="3"/>
  <c r="AE11" i="3"/>
  <c r="AF11" i="3"/>
  <c r="AG11" i="3"/>
  <c r="AH11" i="3"/>
  <c r="W15" i="3"/>
  <c r="X15" i="3"/>
  <c r="Y15" i="3"/>
  <c r="Z15" i="3"/>
  <c r="AA15" i="3"/>
  <c r="AB15" i="3"/>
  <c r="AC15" i="3"/>
  <c r="AD15" i="3"/>
  <c r="AE15" i="3"/>
  <c r="AF15" i="3"/>
  <c r="AG15" i="3"/>
  <c r="AH15" i="3"/>
  <c r="W16" i="3"/>
  <c r="X16" i="3"/>
  <c r="Y16" i="3"/>
  <c r="AJ16" i="3"/>
  <c r="Z16" i="3"/>
  <c r="AA16" i="3"/>
  <c r="AB16" i="3"/>
  <c r="AC16" i="3"/>
  <c r="AD16" i="3"/>
  <c r="AE16" i="3"/>
  <c r="AF16" i="3"/>
  <c r="AG16" i="3"/>
  <c r="AH16" i="3"/>
  <c r="W17" i="3"/>
  <c r="X17" i="3"/>
  <c r="Y17" i="3"/>
  <c r="Z17" i="3"/>
  <c r="AA17" i="3"/>
  <c r="AB17" i="3"/>
  <c r="AC17" i="3"/>
  <c r="AD17" i="3"/>
  <c r="AE17" i="3"/>
  <c r="AF17" i="3"/>
  <c r="AG17" i="3"/>
  <c r="AH17" i="3"/>
  <c r="W18" i="3"/>
  <c r="X18" i="3"/>
  <c r="Y18" i="3"/>
  <c r="Z18" i="3"/>
  <c r="AA18" i="3"/>
  <c r="AB18" i="3"/>
  <c r="AC18" i="3"/>
  <c r="AD18" i="3"/>
  <c r="AE18" i="3"/>
  <c r="AF18" i="3"/>
  <c r="AG18" i="3"/>
  <c r="AH18" i="3"/>
  <c r="W19" i="3"/>
  <c r="X19" i="3"/>
  <c r="Y19" i="3"/>
  <c r="AJ19" i="3"/>
  <c r="Z19" i="3"/>
  <c r="AA19" i="3"/>
  <c r="AB19" i="3"/>
  <c r="AC19" i="3"/>
  <c r="AD19" i="3"/>
  <c r="AE19" i="3"/>
  <c r="AF19" i="3"/>
  <c r="AG19" i="3"/>
  <c r="AH19" i="3"/>
  <c r="W20" i="3"/>
  <c r="X20" i="3"/>
  <c r="Y20" i="3"/>
  <c r="AJ20" i="3"/>
  <c r="Z20" i="3"/>
  <c r="AA20" i="3"/>
  <c r="AB20" i="3"/>
  <c r="AC20" i="3"/>
  <c r="AD20" i="3"/>
  <c r="AE20" i="3"/>
  <c r="AF20" i="3"/>
  <c r="AG20" i="3"/>
  <c r="AH20" i="3"/>
  <c r="W26" i="3"/>
  <c r="X26" i="3"/>
  <c r="Y26" i="3"/>
  <c r="AJ26" i="3"/>
  <c r="Z26" i="3"/>
  <c r="AA26" i="3"/>
  <c r="AB26" i="3"/>
  <c r="AC26" i="3"/>
  <c r="AD26" i="3"/>
  <c r="AE26" i="3"/>
  <c r="AF26" i="3"/>
  <c r="AG26" i="3"/>
  <c r="AH26" i="3"/>
  <c r="W27" i="3"/>
  <c r="X27" i="3"/>
  <c r="Y27" i="3"/>
  <c r="AJ27" i="3"/>
  <c r="Z27" i="3"/>
  <c r="AA27" i="3"/>
  <c r="AB27" i="3"/>
  <c r="AC27" i="3"/>
  <c r="AD27" i="3"/>
  <c r="AE27" i="3"/>
  <c r="AF27" i="3"/>
  <c r="AG27" i="3"/>
  <c r="AH27" i="3"/>
  <c r="W28" i="3"/>
  <c r="X28" i="3"/>
  <c r="Y28" i="3"/>
  <c r="AJ28" i="3"/>
  <c r="Z28" i="3"/>
  <c r="AA28" i="3"/>
  <c r="AB28" i="3"/>
  <c r="AC28" i="3"/>
  <c r="AD28" i="3"/>
  <c r="AE28" i="3"/>
  <c r="AF28" i="3"/>
  <c r="AG28" i="3"/>
  <c r="AH28" i="3"/>
  <c r="W31" i="3"/>
  <c r="X31" i="3"/>
  <c r="Y31" i="3"/>
  <c r="AJ31" i="3"/>
  <c r="Z31" i="3"/>
  <c r="AA31" i="3"/>
  <c r="AB31" i="3"/>
  <c r="AC31" i="3"/>
  <c r="AD31" i="3"/>
  <c r="AE31" i="3"/>
  <c r="AF31" i="3"/>
  <c r="AG31" i="3"/>
  <c r="AH31" i="3"/>
  <c r="W32" i="3"/>
  <c r="X32" i="3"/>
  <c r="Y32" i="3"/>
  <c r="AJ32" i="3"/>
  <c r="Z32" i="3"/>
  <c r="AA32" i="3"/>
  <c r="AB32" i="3"/>
  <c r="AC32" i="3"/>
  <c r="AD32" i="3"/>
  <c r="AE32" i="3"/>
  <c r="AF32" i="3"/>
  <c r="AG32" i="3"/>
  <c r="AH32" i="3"/>
  <c r="W33" i="3"/>
  <c r="X33" i="3"/>
  <c r="Y33" i="3"/>
  <c r="AJ33" i="3"/>
  <c r="Z33" i="3"/>
  <c r="AA33" i="3"/>
  <c r="AB33" i="3"/>
  <c r="AC33" i="3"/>
  <c r="AD33" i="3"/>
  <c r="AE33" i="3"/>
  <c r="AF33" i="3"/>
  <c r="AG33" i="3"/>
  <c r="AH33" i="3"/>
  <c r="W34" i="3"/>
  <c r="X34" i="3"/>
  <c r="Y34" i="3"/>
  <c r="AJ34" i="3"/>
  <c r="Z34" i="3"/>
  <c r="AA34" i="3"/>
  <c r="AB34" i="3"/>
  <c r="AC34" i="3"/>
  <c r="AD34" i="3"/>
  <c r="AE34" i="3"/>
  <c r="AF34" i="3"/>
  <c r="AG34" i="3"/>
  <c r="AH34" i="3"/>
  <c r="Q35" i="3"/>
  <c r="Q18" i="3"/>
  <c r="Q17" i="3"/>
  <c r="Q15" i="3"/>
  <c r="AI14" i="3" l="1"/>
  <c r="AE25" i="3"/>
  <c r="AA25" i="3"/>
  <c r="X25" i="3"/>
  <c r="AG9" i="3"/>
  <c r="AE9" i="3"/>
  <c r="AD9" i="3"/>
  <c r="AC9" i="3"/>
  <c r="AA9" i="3"/>
  <c r="Z9" i="3"/>
  <c r="AJ9" i="3"/>
  <c r="Y9" i="3"/>
  <c r="X9" i="3"/>
  <c r="AG25" i="3"/>
  <c r="AC25" i="3"/>
  <c r="AJ25" i="3"/>
  <c r="AH25" i="3"/>
  <c r="AD25" i="3"/>
  <c r="Z25" i="3"/>
  <c r="W25" i="3"/>
  <c r="AE14" i="3"/>
  <c r="AA14" i="3"/>
  <c r="X14" i="3"/>
  <c r="AF25" i="3"/>
  <c r="AB25" i="3"/>
  <c r="Y25" i="3"/>
  <c r="AH14" i="3"/>
  <c r="AD14" i="3"/>
  <c r="Z14" i="3"/>
  <c r="W14" i="3"/>
  <c r="AF14" i="3"/>
  <c r="AB14" i="3"/>
  <c r="Y14" i="3"/>
  <c r="AG14" i="3"/>
  <c r="AC14" i="3"/>
  <c r="AJ14" i="3"/>
  <c r="R21" i="3"/>
  <c r="R35" i="3"/>
  <c r="R18" i="3"/>
  <c r="R17" i="3"/>
  <c r="R15" i="3"/>
  <c r="Q29" i="3"/>
  <c r="Q25" i="3"/>
  <c r="Q9" i="3"/>
  <c r="Q14" i="3" l="1"/>
  <c r="AQ35" i="3" l="1"/>
  <c r="AM35" i="3"/>
  <c r="U35" i="3"/>
  <c r="C35" i="3"/>
  <c r="AR11" i="3"/>
  <c r="AR10" i="3"/>
  <c r="AN10" i="3"/>
  <c r="AN11" i="3"/>
  <c r="V11" i="3"/>
  <c r="V10" i="3"/>
  <c r="E10" i="3"/>
  <c r="F10" i="3"/>
  <c r="G10" i="3"/>
  <c r="H10" i="3"/>
  <c r="I10" i="3"/>
  <c r="J10" i="3"/>
  <c r="K10" i="3"/>
  <c r="L10" i="3"/>
  <c r="M10" i="3"/>
  <c r="N10" i="3"/>
  <c r="O10" i="3"/>
  <c r="P10" i="3"/>
  <c r="R10" i="3"/>
  <c r="E11" i="3"/>
  <c r="F11" i="3"/>
  <c r="G11" i="3"/>
  <c r="H11" i="3"/>
  <c r="I11" i="3"/>
  <c r="J11" i="3"/>
  <c r="K11" i="3"/>
  <c r="L11" i="3"/>
  <c r="M11" i="3"/>
  <c r="N11" i="3"/>
  <c r="O11" i="3"/>
  <c r="P11" i="3"/>
  <c r="R11" i="3"/>
  <c r="D11" i="3"/>
  <c r="D10" i="3"/>
  <c r="X35" i="3" l="1"/>
  <c r="AA35" i="3"/>
  <c r="AE35" i="3"/>
  <c r="W35" i="3"/>
  <c r="Y35" i="3"/>
  <c r="AB35" i="3"/>
  <c r="AF35" i="3"/>
  <c r="Z35" i="3"/>
  <c r="AH35" i="3"/>
  <c r="AC35" i="3"/>
  <c r="AG35" i="3"/>
  <c r="AD35" i="3"/>
  <c r="AQ9" i="3"/>
  <c r="AM9" i="3"/>
  <c r="U9" i="3"/>
  <c r="C9" i="3"/>
  <c r="AR26" i="3" l="1"/>
  <c r="AR35" i="3"/>
  <c r="AR34" i="3"/>
  <c r="AR33" i="3"/>
  <c r="AR32" i="3"/>
  <c r="AR31" i="3"/>
  <c r="AR28" i="3"/>
  <c r="AR27" i="3"/>
  <c r="AR20" i="3"/>
  <c r="AR19" i="3"/>
  <c r="AR18" i="3"/>
  <c r="AR17" i="3"/>
  <c r="AR16" i="3"/>
  <c r="AR15" i="3"/>
  <c r="AR9" i="3"/>
  <c r="AQ30" i="3"/>
  <c r="AQ25" i="3"/>
  <c r="AQ14" i="3"/>
  <c r="AQ29" i="3" l="1"/>
  <c r="AR30" i="3"/>
  <c r="AR29" i="3" s="1"/>
  <c r="AR25" i="3"/>
  <c r="AR14" i="3"/>
  <c r="AR37" i="3" l="1"/>
  <c r="D36" i="3" l="1"/>
  <c r="E36" i="3"/>
  <c r="F36" i="3"/>
  <c r="G36" i="3"/>
  <c r="H36" i="3"/>
  <c r="I36" i="3"/>
  <c r="J36" i="3"/>
  <c r="O36" i="3"/>
  <c r="P36" i="3"/>
  <c r="AN9" i="3" l="1"/>
  <c r="AN15" i="3"/>
  <c r="AN16" i="3"/>
  <c r="AN17" i="3"/>
  <c r="AN18" i="3"/>
  <c r="AN19" i="3"/>
  <c r="AN20" i="3"/>
  <c r="AN26" i="3"/>
  <c r="AN27" i="3"/>
  <c r="AN28" i="3"/>
  <c r="AN30" i="3"/>
  <c r="AN31" i="3"/>
  <c r="AN32" i="3"/>
  <c r="AN33" i="3"/>
  <c r="AN34" i="3"/>
  <c r="AN35" i="3"/>
  <c r="AM29" i="3"/>
  <c r="AM25" i="3"/>
  <c r="AM14" i="3"/>
  <c r="AN29" i="3" l="1"/>
  <c r="AN14" i="3"/>
  <c r="AN25" i="3"/>
  <c r="AR39" i="3"/>
  <c r="V15" i="3"/>
  <c r="V16" i="3"/>
  <c r="V17" i="3"/>
  <c r="V18" i="3"/>
  <c r="V19" i="3"/>
  <c r="V20" i="3"/>
  <c r="V26" i="3"/>
  <c r="V27" i="3"/>
  <c r="V28" i="3"/>
  <c r="V31" i="3"/>
  <c r="V32" i="3"/>
  <c r="V33" i="3"/>
  <c r="V34" i="3"/>
  <c r="V35" i="3"/>
  <c r="U30" i="3"/>
  <c r="U25" i="3"/>
  <c r="U14" i="3"/>
  <c r="U29" i="3" l="1"/>
  <c r="Y30" i="3"/>
  <c r="Y29" i="3" s="1"/>
  <c r="Y37" i="3" s="1"/>
  <c r="Y39" i="3" s="1"/>
  <c r="AB30" i="3"/>
  <c r="AB29" i="3" s="1"/>
  <c r="AB37" i="3" s="1"/>
  <c r="AB39" i="3" s="1"/>
  <c r="AF30" i="3"/>
  <c r="AF29" i="3" s="1"/>
  <c r="AF37" i="3" s="1"/>
  <c r="AF39" i="3" s="1"/>
  <c r="AJ30" i="3"/>
  <c r="AJ29" i="3" s="1"/>
  <c r="AJ37" i="3" s="1"/>
  <c r="AJ39" i="3" s="1"/>
  <c r="AC30" i="3"/>
  <c r="AC29" i="3" s="1"/>
  <c r="AC37" i="3" s="1"/>
  <c r="AC39" i="3" s="1"/>
  <c r="AG30" i="3"/>
  <c r="AG29" i="3" s="1"/>
  <c r="AG37" i="3" s="1"/>
  <c r="AG39" i="3" s="1"/>
  <c r="W30" i="3"/>
  <c r="W29" i="3" s="1"/>
  <c r="W37" i="3" s="1"/>
  <c r="W39" i="3" s="1"/>
  <c r="Z30" i="3"/>
  <c r="Z29" i="3" s="1"/>
  <c r="Z37" i="3" s="1"/>
  <c r="Z39" i="3" s="1"/>
  <c r="AD30" i="3"/>
  <c r="AD29" i="3" s="1"/>
  <c r="AD37" i="3" s="1"/>
  <c r="AD39" i="3" s="1"/>
  <c r="AH30" i="3"/>
  <c r="AH29" i="3" s="1"/>
  <c r="AH37" i="3" s="1"/>
  <c r="AH39" i="3" s="1"/>
  <c r="X30" i="3"/>
  <c r="X29" i="3" s="1"/>
  <c r="X37" i="3" s="1"/>
  <c r="X39" i="3" s="1"/>
  <c r="AA30" i="3"/>
  <c r="AA29" i="3" s="1"/>
  <c r="AA37" i="3" s="1"/>
  <c r="AA39" i="3" s="1"/>
  <c r="AE30" i="3"/>
  <c r="AE29" i="3" s="1"/>
  <c r="AE37" i="3" s="1"/>
  <c r="AE39" i="3" s="1"/>
  <c r="AN37" i="3"/>
  <c r="V25" i="3"/>
  <c r="V14" i="3"/>
  <c r="V30" i="3"/>
  <c r="V29" i="3" s="1"/>
  <c r="V9" i="3"/>
  <c r="V37" i="3" l="1"/>
  <c r="D35" i="3" l="1"/>
  <c r="F9" i="3" l="1"/>
  <c r="G9" i="3"/>
  <c r="H9" i="3"/>
  <c r="J9" i="3"/>
  <c r="K9" i="3"/>
  <c r="L9" i="3"/>
  <c r="N9" i="3"/>
  <c r="O9" i="3"/>
  <c r="P9" i="3"/>
  <c r="E15" i="3"/>
  <c r="F15" i="3"/>
  <c r="G15" i="3"/>
  <c r="H15" i="3"/>
  <c r="I15" i="3"/>
  <c r="J15" i="3"/>
  <c r="K15" i="3"/>
  <c r="L15" i="3"/>
  <c r="M15" i="3"/>
  <c r="N15" i="3"/>
  <c r="O15" i="3"/>
  <c r="P15" i="3"/>
  <c r="E16" i="3"/>
  <c r="F16" i="3"/>
  <c r="G16" i="3"/>
  <c r="H16" i="3"/>
  <c r="I16" i="3"/>
  <c r="J16" i="3"/>
  <c r="K16" i="3"/>
  <c r="L16" i="3"/>
  <c r="M16" i="3"/>
  <c r="N16" i="3"/>
  <c r="O16" i="3"/>
  <c r="P16" i="3"/>
  <c r="R16" i="3"/>
  <c r="E17" i="3"/>
  <c r="F17" i="3"/>
  <c r="G17" i="3"/>
  <c r="H17" i="3"/>
  <c r="I17" i="3"/>
  <c r="J17" i="3"/>
  <c r="K17" i="3"/>
  <c r="L17" i="3"/>
  <c r="M17" i="3"/>
  <c r="N17" i="3"/>
  <c r="O17" i="3"/>
  <c r="P17" i="3"/>
  <c r="E18" i="3"/>
  <c r="F18" i="3"/>
  <c r="G18" i="3"/>
  <c r="H18" i="3"/>
  <c r="I18" i="3"/>
  <c r="J18" i="3"/>
  <c r="K18" i="3"/>
  <c r="L18" i="3"/>
  <c r="M18" i="3"/>
  <c r="N18" i="3"/>
  <c r="O18" i="3"/>
  <c r="P18" i="3"/>
  <c r="E19" i="3"/>
  <c r="F19" i="3"/>
  <c r="G19" i="3"/>
  <c r="H19" i="3"/>
  <c r="I19" i="3"/>
  <c r="J19" i="3"/>
  <c r="K19" i="3"/>
  <c r="L19" i="3"/>
  <c r="M19" i="3"/>
  <c r="N19" i="3"/>
  <c r="O19" i="3"/>
  <c r="P19" i="3"/>
  <c r="R19" i="3"/>
  <c r="E20" i="3"/>
  <c r="F20" i="3"/>
  <c r="G20" i="3"/>
  <c r="H20" i="3"/>
  <c r="I20" i="3"/>
  <c r="J20" i="3"/>
  <c r="K20" i="3"/>
  <c r="L20" i="3"/>
  <c r="M20" i="3"/>
  <c r="N20" i="3"/>
  <c r="O20" i="3"/>
  <c r="P20" i="3"/>
  <c r="R20" i="3"/>
  <c r="E26" i="3"/>
  <c r="F26" i="3"/>
  <c r="G26" i="3"/>
  <c r="H26" i="3"/>
  <c r="I26" i="3"/>
  <c r="J26" i="3"/>
  <c r="K26" i="3"/>
  <c r="L26" i="3"/>
  <c r="M26" i="3"/>
  <c r="N26" i="3"/>
  <c r="O26" i="3"/>
  <c r="P26" i="3"/>
  <c r="R26" i="3"/>
  <c r="E27" i="3"/>
  <c r="F27" i="3"/>
  <c r="G27" i="3"/>
  <c r="H27" i="3"/>
  <c r="I27" i="3"/>
  <c r="J27" i="3"/>
  <c r="K27" i="3"/>
  <c r="L27" i="3"/>
  <c r="M27" i="3"/>
  <c r="N27" i="3"/>
  <c r="O27" i="3"/>
  <c r="P27" i="3"/>
  <c r="R27" i="3"/>
  <c r="E28" i="3"/>
  <c r="F28" i="3"/>
  <c r="G28" i="3"/>
  <c r="H28" i="3"/>
  <c r="I28" i="3"/>
  <c r="J28" i="3"/>
  <c r="K28" i="3"/>
  <c r="L28" i="3"/>
  <c r="M28" i="3"/>
  <c r="N28" i="3"/>
  <c r="O28" i="3"/>
  <c r="P28" i="3"/>
  <c r="R28" i="3"/>
  <c r="E30" i="3"/>
  <c r="F30" i="3"/>
  <c r="G30" i="3"/>
  <c r="H30" i="3"/>
  <c r="I30" i="3"/>
  <c r="J30" i="3"/>
  <c r="K30" i="3"/>
  <c r="L30" i="3"/>
  <c r="M30" i="3"/>
  <c r="N30" i="3"/>
  <c r="O30" i="3"/>
  <c r="P30" i="3"/>
  <c r="R30" i="3"/>
  <c r="E31" i="3"/>
  <c r="F31" i="3"/>
  <c r="G31" i="3"/>
  <c r="H31" i="3"/>
  <c r="I31" i="3"/>
  <c r="J31" i="3"/>
  <c r="K31" i="3"/>
  <c r="L31" i="3"/>
  <c r="M31" i="3"/>
  <c r="N31" i="3"/>
  <c r="O31" i="3"/>
  <c r="P31" i="3"/>
  <c r="R31" i="3"/>
  <c r="E32" i="3"/>
  <c r="F32" i="3"/>
  <c r="G32" i="3"/>
  <c r="H32" i="3"/>
  <c r="I32" i="3"/>
  <c r="J32" i="3"/>
  <c r="K32" i="3"/>
  <c r="L32" i="3"/>
  <c r="M32" i="3"/>
  <c r="N32" i="3"/>
  <c r="O32" i="3"/>
  <c r="P32" i="3"/>
  <c r="R32" i="3"/>
  <c r="E33" i="3"/>
  <c r="F33" i="3"/>
  <c r="G33" i="3"/>
  <c r="H33" i="3"/>
  <c r="I33" i="3"/>
  <c r="J33" i="3"/>
  <c r="K33" i="3"/>
  <c r="L33" i="3"/>
  <c r="M33" i="3"/>
  <c r="N33" i="3"/>
  <c r="O33" i="3"/>
  <c r="P33" i="3"/>
  <c r="R33" i="3"/>
  <c r="E34" i="3"/>
  <c r="F34" i="3"/>
  <c r="G34" i="3"/>
  <c r="H34" i="3"/>
  <c r="I34" i="3"/>
  <c r="J34" i="3"/>
  <c r="K34" i="3"/>
  <c r="L34" i="3"/>
  <c r="M34" i="3"/>
  <c r="N34" i="3"/>
  <c r="O34" i="3"/>
  <c r="P34" i="3"/>
  <c r="R34" i="3"/>
  <c r="E35" i="3"/>
  <c r="F35" i="3"/>
  <c r="G35" i="3"/>
  <c r="H35" i="3"/>
  <c r="I35" i="3"/>
  <c r="J35" i="3"/>
  <c r="K35" i="3"/>
  <c r="L35" i="3"/>
  <c r="M35" i="3"/>
  <c r="N35" i="3"/>
  <c r="O35" i="3"/>
  <c r="P35" i="3"/>
  <c r="D34" i="3"/>
  <c r="D33" i="3"/>
  <c r="D32" i="3"/>
  <c r="D31" i="3"/>
  <c r="D30" i="3"/>
  <c r="D28" i="3"/>
  <c r="D27" i="3"/>
  <c r="D26" i="3"/>
  <c r="D20" i="3"/>
  <c r="D19" i="3"/>
  <c r="D18" i="3"/>
  <c r="D17" i="3"/>
  <c r="D16" i="3"/>
  <c r="D15" i="3"/>
  <c r="C29" i="3"/>
  <c r="C25" i="3"/>
  <c r="C14" i="3"/>
  <c r="D25" i="3" l="1"/>
  <c r="R25" i="3"/>
  <c r="M25" i="3"/>
  <c r="D29" i="3"/>
  <c r="I25" i="3"/>
  <c r="R29" i="3"/>
  <c r="M29" i="3"/>
  <c r="I29" i="3"/>
  <c r="L14" i="3"/>
  <c r="H14" i="3"/>
  <c r="E14" i="3"/>
  <c r="L25" i="3"/>
  <c r="H25" i="3"/>
  <c r="E25" i="3"/>
  <c r="E9" i="3"/>
  <c r="O29" i="3"/>
  <c r="N29" i="3"/>
  <c r="J29" i="3"/>
  <c r="F29" i="3"/>
  <c r="P29" i="3"/>
  <c r="K29" i="3"/>
  <c r="G29" i="3"/>
  <c r="P14" i="3"/>
  <c r="K14" i="3"/>
  <c r="G14" i="3"/>
  <c r="O14" i="3"/>
  <c r="N14" i="3"/>
  <c r="J14" i="3"/>
  <c r="F14" i="3"/>
  <c r="R9" i="3"/>
  <c r="M9" i="3"/>
  <c r="I9" i="3"/>
  <c r="L29" i="3"/>
  <c r="H29" i="3"/>
  <c r="E29" i="3"/>
  <c r="O25" i="3"/>
  <c r="N25" i="3"/>
  <c r="J25" i="3"/>
  <c r="F25" i="3"/>
  <c r="P25" i="3"/>
  <c r="K25" i="3"/>
  <c r="G25" i="3"/>
  <c r="R14" i="3"/>
  <c r="M14" i="3"/>
  <c r="I14" i="3"/>
  <c r="H37" i="3" l="1"/>
  <c r="G37" i="3"/>
  <c r="F37" i="3"/>
  <c r="L37" i="3"/>
  <c r="K37" i="3"/>
  <c r="J37" i="3"/>
  <c r="N37" i="3"/>
  <c r="P37" i="3"/>
  <c r="O37" i="3"/>
  <c r="R37" i="3"/>
  <c r="I37" i="3"/>
  <c r="E37" i="3"/>
  <c r="M37" i="3"/>
  <c r="AN39" i="3" l="1"/>
  <c r="H39" i="3" l="1"/>
  <c r="L39" i="3"/>
  <c r="F39" i="3"/>
  <c r="J39" i="3"/>
  <c r="N39" i="3" l="1"/>
  <c r="D14" i="3" l="1"/>
  <c r="O39" i="3" l="1"/>
  <c r="V39" i="3" l="1"/>
  <c r="E39" i="3" l="1"/>
  <c r="G39" i="3"/>
  <c r="I39" i="3" l="1"/>
  <c r="K39" i="3" l="1"/>
  <c r="M39" i="3" l="1"/>
  <c r="P39" i="3" l="1"/>
  <c r="R39" i="3" l="1"/>
  <c r="D9" i="3" l="1"/>
  <c r="D37" i="3" s="1"/>
  <c r="D39" i="3" l="1"/>
</calcChain>
</file>

<file path=xl/sharedStrings.xml><?xml version="1.0" encoding="utf-8"?>
<sst xmlns="http://schemas.openxmlformats.org/spreadsheetml/2006/main" count="264" uniqueCount="112">
  <si>
    <t>месяцы</t>
  </si>
  <si>
    <t>Площадь жилых помещений</t>
  </si>
  <si>
    <t>Общая годовая стоимость работ по многоквартирным домам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</si>
  <si>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</si>
  <si>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</si>
  <si>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</si>
  <si>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</si>
  <si>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</si>
  <si>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</si>
  <si>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</si>
  <si>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</si>
  <si>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</si>
  <si>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</si>
  <si>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</si>
  <si>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</si>
  <si>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</si>
  <si>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</si>
  <si>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</si>
  <si>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</si>
  <si>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</si>
  <si>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</si>
  <si>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</si>
  <si>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</si>
  <si>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</si>
  <si>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</si>
  <si>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12</t>
  </si>
  <si>
    <t>18</t>
  </si>
  <si>
    <t>16</t>
  </si>
  <si>
    <t>4</t>
  </si>
  <si>
    <t>7</t>
  </si>
  <si>
    <t>11</t>
  </si>
  <si>
    <t>10</t>
  </si>
  <si>
    <t>15</t>
  </si>
  <si>
    <t>25</t>
  </si>
  <si>
    <t>2.Мытье перил, дверей, плафонов, окон, рам, подоконников, почтовых ящиков в помещениях общего пользования</t>
  </si>
  <si>
    <t>3. Уборка мусора с придомовой территории</t>
  </si>
  <si>
    <t xml:space="preserve">4. Уборка мусора на контейнерных площадках </t>
  </si>
  <si>
    <t>5. Очистка придомовой территории от снега при отсутствии снегопадов</t>
  </si>
  <si>
    <t>6.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</si>
  <si>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7. Проверка и при необходимости очистка кровли от скопления снега и наледи, сосулек
</t>
  </si>
  <si>
    <t>8. Вывоз твердых бытовых отходов (ТБО), жидких бытовых отходов</t>
  </si>
  <si>
    <t>V. Расходы по управлению МКД</t>
  </si>
  <si>
    <t xml:space="preserve">VI. ВДГО </t>
  </si>
  <si>
    <t>2 раз(а) в месяц</t>
  </si>
  <si>
    <t>2 раз(а) в год при необходимости</t>
  </si>
  <si>
    <t xml:space="preserve">4 раз(а) в неделю контейнера </t>
  </si>
  <si>
    <t>постоянно</t>
  </si>
  <si>
    <t xml:space="preserve">Стоимость на 1 кв. м. общей площади (руб./мес.)                               (размер платы в месяц на 1 кв. м.)  </t>
  </si>
  <si>
    <t xml:space="preserve"> деревянный благоустроенный дом с ХВС, ГВС, канализацией, центральным отоплением</t>
  </si>
  <si>
    <t xml:space="preserve">Перечень обязательных работ, услуг </t>
  </si>
  <si>
    <t xml:space="preserve"> раз(а) в неделю</t>
  </si>
  <si>
    <t>раз(а) в неделю</t>
  </si>
  <si>
    <t xml:space="preserve">3. Уборка мусора с придомовой территории </t>
  </si>
  <si>
    <t>4. Уборка мусора на контейнерных площадках (помойных ямах)</t>
  </si>
  <si>
    <t>2 раз(а) в год</t>
  </si>
  <si>
    <t>4 раз(а) в неделю контейнера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</si>
  <si>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Прочиска канализационных лежаков 2 раза в год. </t>
  </si>
  <si>
    <t>постоянно
на системах водоснабжения, газоснабжения, канализации, энергоснабжения</t>
  </si>
  <si>
    <t>VI. ВДГО</t>
  </si>
  <si>
    <t xml:space="preserve">Стоимость на 1 кв. м. общей площади (руб./мес.)         (размер платы в месяц на 1 кв. м.)  </t>
  </si>
  <si>
    <t>МВК      деревянный благоустроенный дом с ХВС, ГВС, канализацией, центральным отоплением</t>
  </si>
  <si>
    <t>МВК деревянный благоустроенный с ХВС, ГВС, канализация, печное отопление (без центр отопления)</t>
  </si>
  <si>
    <t xml:space="preserve"> деревянный благоустроенный с ХВС, ГВС, канализация, печное отопление (без центр отопления)</t>
  </si>
  <si>
    <t>Приложение № 2</t>
  </si>
  <si>
    <t xml:space="preserve"> извещению и документации </t>
  </si>
  <si>
    <t>о проведении открытого конкурса</t>
  </si>
  <si>
    <t>35</t>
  </si>
  <si>
    <t>37</t>
  </si>
  <si>
    <t>9. Покос травы</t>
  </si>
  <si>
    <t>2 раза в год</t>
  </si>
  <si>
    <t xml:space="preserve">10. Сезонный осмотр конструкций здания( фасадов, стен, фундаментов, кровли, преркрытий)
</t>
  </si>
  <si>
    <t xml:space="preserve">11.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</si>
  <si>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 xml:space="preserve">12.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обслуживание и ремонт бойлерных, удаление воздуха из системы отопления, смена отдельных участков трубопроводов по необходимости.
</t>
  </si>
  <si>
    <t>13.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расконсервация системы отопления, промывка централизованных систем теплоснабжения для удаления накипно-коррозионных отложений.</t>
  </si>
  <si>
    <t>14. Аварийное обслуживание</t>
  </si>
  <si>
    <t>15. Ремонт кровли, крылец, козырьков, деревянных тротуаров</t>
  </si>
  <si>
    <t>16. Дератизация</t>
  </si>
  <si>
    <t>17. Дезинсекция</t>
  </si>
  <si>
    <t>12. Проверка исправности, работоспособности, регулировка и техническое обслуживание, запорной арматуры,  промывка систем водоснабжения для удаления накипно-коррозионных отложений,  обслуживание и ремонт бойлерных, смена отдельных участков трубопроводов по необходимости.
Заделка щелей в печах, оштукатуривание, прочистка дымохода.</t>
  </si>
  <si>
    <t>13.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проверка работоспособности и обслуживание устройства водоподготовки для системы горячего водоснабжения.</t>
  </si>
  <si>
    <t>ул. Суфтина, 1 прз,</t>
  </si>
  <si>
    <t>пр. Новгородский</t>
  </si>
  <si>
    <t>ул. Г. Суфтина</t>
  </si>
  <si>
    <t>2,к.1</t>
  </si>
  <si>
    <t>27,к.1</t>
  </si>
  <si>
    <t>6, к.1</t>
  </si>
  <si>
    <t>пр. Сов. Космонавтов</t>
  </si>
  <si>
    <t>33, к.1</t>
  </si>
  <si>
    <t>ул. Котлассская</t>
  </si>
  <si>
    <t>пр. Чумбарова-Лучинского</t>
  </si>
  <si>
    <t>48</t>
  </si>
  <si>
    <t>ул. Шабалина</t>
  </si>
  <si>
    <t>23</t>
  </si>
  <si>
    <t>27</t>
  </si>
  <si>
    <t>ул. Романа Куликова</t>
  </si>
  <si>
    <t>пр. Московский</t>
  </si>
  <si>
    <t>ул. Урицкого</t>
  </si>
  <si>
    <t>6,к.1</t>
  </si>
  <si>
    <t>ул. Павла Усова</t>
  </si>
  <si>
    <t>9, 1</t>
  </si>
  <si>
    <t>ул. Выучейского</t>
  </si>
  <si>
    <t>39</t>
  </si>
  <si>
    <t>ул. Северодвинская/ Котоасская</t>
  </si>
  <si>
    <t>65/10</t>
  </si>
  <si>
    <t>37,4</t>
  </si>
  <si>
    <t>37,1</t>
  </si>
  <si>
    <t>пер. Водников</t>
  </si>
  <si>
    <t>32</t>
  </si>
  <si>
    <t>пр. Обводный канал</t>
  </si>
  <si>
    <t>ул. Володарского</t>
  </si>
  <si>
    <t>83</t>
  </si>
  <si>
    <t>Лот №5 Ломоносовский территориальный округ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</si>
</sst>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/>
      <bottom style="hair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96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4" fontId="10" fillId="2" borderId="3" xfId="0" applyNumberFormat="1" applyFont="1" applyFill="1" applyBorder="1" applyAlignment="1">
      <alignment horizontal="center"/>
    </xf>
    <xf numFmtId="4" fontId="10" fillId="2" borderId="4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4" fontId="8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/>
    <xf numFmtId="4" fontId="15" fillId="2" borderId="0" xfId="0" applyNumberFormat="1" applyFont="1" applyFill="1" applyBorder="1" applyAlignment="1">
      <alignment horizontal="center" vertical="center"/>
    </xf>
    <xf numFmtId="4" fontId="8" fillId="2" borderId="8" xfId="0" applyNumberFormat="1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164" fontId="13" fillId="2" borderId="9" xfId="2" applyNumberFormat="1" applyFont="1" applyFill="1" applyBorder="1" applyAlignment="1">
      <alignment horizontal="center" vertical="center" wrapText="1"/>
    </xf>
    <xf numFmtId="4" fontId="8" fillId="2" borderId="0" xfId="0" applyNumberFormat="1" applyFont="1" applyFill="1" applyBorder="1" applyAlignment="1">
      <alignment vertical="center"/>
    </xf>
    <xf numFmtId="4" fontId="9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4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 wrapText="1"/>
    </xf>
    <xf numFmtId="4" fontId="8" fillId="3" borderId="7" xfId="0" applyNumberFormat="1" applyFont="1" applyFill="1" applyBorder="1" applyAlignment="1">
      <alignment vertical="center"/>
    </xf>
    <xf numFmtId="4" fontId="8" fillId="3" borderId="8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9" fontId="13" fillId="2" borderId="20" xfId="2" applyNumberFormat="1" applyFont="1" applyFill="1" applyBorder="1" applyAlignment="1">
      <alignment horizontal="left" vertical="center" wrapText="1"/>
    </xf>
    <xf numFmtId="49" fontId="13" fillId="2" borderId="20" xfId="0" applyNumberFormat="1" applyFont="1" applyFill="1" applyBorder="1" applyAlignment="1">
      <alignment horizontal="left" vertical="center" wrapText="1"/>
    </xf>
    <xf numFmtId="4" fontId="8" fillId="3" borderId="4" xfId="0" applyNumberFormat="1" applyFont="1" applyFill="1" applyBorder="1" applyAlignment="1">
      <alignment vertical="center" wrapText="1"/>
    </xf>
    <xf numFmtId="4" fontId="15" fillId="3" borderId="21" xfId="0" applyNumberFormat="1" applyFont="1" applyFill="1" applyBorder="1" applyAlignment="1">
      <alignment vertical="center" wrapText="1"/>
    </xf>
    <xf numFmtId="4" fontId="8" fillId="3" borderId="2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left" vertical="top"/>
    </xf>
    <xf numFmtId="4" fontId="4" fillId="3" borderId="1" xfId="0" applyNumberFormat="1" applyFont="1" applyFill="1" applyBorder="1" applyAlignment="1">
      <alignment horizontal="left" vertical="top" wrapText="1"/>
    </xf>
    <xf numFmtId="4" fontId="13" fillId="2" borderId="9" xfId="2" applyNumberFormat="1" applyFont="1" applyFill="1" applyBorder="1" applyAlignment="1">
      <alignment horizontal="center" vertical="center" wrapText="1"/>
    </xf>
    <xf numFmtId="2" fontId="13" fillId="2" borderId="9" xfId="2" applyNumberFormat="1" applyFont="1" applyFill="1" applyBorder="1" applyAlignment="1">
      <alignment horizontal="center" vertical="center" wrapText="1"/>
    </xf>
    <xf numFmtId="2" fontId="13" fillId="2" borderId="6" xfId="0" applyNumberFormat="1" applyFont="1" applyFill="1" applyBorder="1" applyAlignment="1">
      <alignment horizontal="center" vertical="center" wrapText="1"/>
    </xf>
    <xf numFmtId="49" fontId="13" fillId="2" borderId="13" xfId="2" applyNumberFormat="1" applyFont="1" applyFill="1" applyBorder="1" applyAlignment="1">
      <alignment horizontal="left" vertical="center" wrapText="1"/>
    </xf>
    <xf numFmtId="49" fontId="13" fillId="2" borderId="9" xfId="0" applyNumberFormat="1" applyFont="1" applyFill="1" applyBorder="1" applyAlignment="1">
      <alignment horizontal="left" vertical="center" wrapText="1"/>
    </xf>
    <xf numFmtId="49" fontId="13" fillId="2" borderId="9" xfId="2" applyNumberFormat="1" applyFont="1" applyFill="1" applyBorder="1" applyAlignment="1">
      <alignment horizontal="left" vertical="center" wrapText="1"/>
    </xf>
    <xf numFmtId="49" fontId="13" fillId="2" borderId="6" xfId="0" applyNumberFormat="1" applyFont="1" applyFill="1" applyBorder="1" applyAlignment="1">
      <alignment horizontal="left" vertical="center" wrapText="1"/>
    </xf>
    <xf numFmtId="49" fontId="13" fillId="2" borderId="14" xfId="0" applyNumberFormat="1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center" vertical="center"/>
    </xf>
    <xf numFmtId="49" fontId="13" fillId="2" borderId="12" xfId="2" applyNumberFormat="1" applyFont="1" applyFill="1" applyBorder="1" applyAlignment="1">
      <alignment horizontal="left" vertical="center" wrapText="1"/>
    </xf>
    <xf numFmtId="49" fontId="13" fillId="2" borderId="19" xfId="2" applyNumberFormat="1" applyFont="1" applyFill="1" applyBorder="1" applyAlignment="1">
      <alignment horizontal="left" vertical="center" wrapText="1"/>
    </xf>
    <xf numFmtId="4" fontId="18" fillId="2" borderId="3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left" vertical="center"/>
    </xf>
    <xf numFmtId="4" fontId="16" fillId="3" borderId="1" xfId="0" applyNumberFormat="1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left" vertical="center"/>
    </xf>
    <xf numFmtId="0" fontId="2" fillId="3" borderId="0" xfId="0" applyFont="1" applyFill="1" applyAlignment="1">
      <alignment vertical="center"/>
    </xf>
    <xf numFmtId="4" fontId="10" fillId="2" borderId="1" xfId="0" applyNumberFormat="1" applyFont="1" applyFill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left" vertical="center"/>
    </xf>
    <xf numFmtId="4" fontId="15" fillId="3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4" fontId="15" fillId="3" borderId="20" xfId="0" applyNumberFormat="1" applyFont="1" applyFill="1" applyBorder="1" applyAlignment="1">
      <alignment horizontal="center" vertical="center" wrapText="1"/>
    </xf>
    <xf numFmtId="4" fontId="8" fillId="3" borderId="20" xfId="0" applyNumberFormat="1" applyFont="1" applyFill="1" applyBorder="1" applyAlignment="1">
      <alignment horizontal="center" vertical="center" wrapText="1"/>
    </xf>
    <xf numFmtId="4" fontId="15" fillId="3" borderId="17" xfId="0" applyNumberFormat="1" applyFont="1" applyFill="1" applyBorder="1" applyAlignment="1">
      <alignment horizontal="center" vertical="center" wrapText="1"/>
    </xf>
    <xf numFmtId="4" fontId="15" fillId="3" borderId="18" xfId="0" applyNumberFormat="1" applyFont="1" applyFill="1" applyBorder="1" applyAlignment="1">
      <alignment horizontal="center" vertical="center" wrapText="1"/>
    </xf>
    <xf numFmtId="4" fontId="8" fillId="3" borderId="10" xfId="0" applyNumberFormat="1" applyFont="1" applyFill="1" applyBorder="1" applyAlignment="1">
      <alignment horizontal="center" vertical="center" wrapText="1"/>
    </xf>
    <xf numFmtId="4" fontId="8" fillId="3" borderId="11" xfId="0" applyNumberFormat="1" applyFont="1" applyFill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 wrapText="1"/>
    </xf>
    <xf numFmtId="4" fontId="15" fillId="3" borderId="15" xfId="0" applyNumberFormat="1" applyFont="1" applyFill="1" applyBorder="1" applyAlignment="1">
      <alignment horizontal="center" vertical="center" wrapText="1"/>
    </xf>
    <xf numFmtId="4" fontId="15" fillId="3" borderId="16" xfId="0" applyNumberFormat="1" applyFont="1" applyFill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7"/>
  <sheetViews>
    <sheetView tabSelected="1" view="pageBreakPreview" topLeftCell="AI31" zoomScale="86" zoomScaleNormal="100" zoomScaleSheetLayoutView="86" workbookViewId="0">
      <selection activeCell="AS33" sqref="AS33:AV42"/>
    </sheetView>
  </sheetViews>
  <sheetFormatPr defaultRowHeight="12.75" x14ac:dyDescent="0.2"/>
  <cols>
    <col min="1" max="1" width="55.5703125" style="6" customWidth="1"/>
    <col min="2" max="2" width="34.7109375" style="17" customWidth="1"/>
    <col min="3" max="3" width="27.140625" style="17" customWidth="1"/>
    <col min="4" max="4" width="9.28515625" style="7" customWidth="1"/>
    <col min="5" max="5" width="11.42578125" style="7" customWidth="1"/>
    <col min="6" max="16" width="9.28515625" style="7" customWidth="1"/>
    <col min="17" max="17" width="27.140625" style="17" customWidth="1"/>
    <col min="18" max="18" width="9.28515625" style="7" customWidth="1"/>
    <col min="19" max="19" width="60.7109375" style="28" customWidth="1"/>
    <col min="20" max="20" width="33.85546875" style="17" customWidth="1"/>
    <col min="21" max="21" width="23.5703125" style="17" customWidth="1"/>
    <col min="22" max="30" width="9.28515625" style="7" customWidth="1"/>
    <col min="31" max="31" width="13.42578125" style="7" customWidth="1"/>
    <col min="32" max="33" width="13" style="7" customWidth="1"/>
    <col min="34" max="34" width="16" style="7" customWidth="1"/>
    <col min="35" max="35" width="23.5703125" style="17" customWidth="1"/>
    <col min="36" max="36" width="9.28515625" style="7" customWidth="1"/>
    <col min="37" max="37" width="48.5703125" style="17" customWidth="1"/>
    <col min="38" max="38" width="26.85546875" style="28" customWidth="1"/>
    <col min="39" max="39" width="17.28515625" style="17" customWidth="1"/>
    <col min="40" max="40" width="9.28515625" style="7" customWidth="1"/>
    <col min="41" max="41" width="74.7109375" style="7" customWidth="1"/>
    <col min="42" max="42" width="24.5703125" style="7" customWidth="1"/>
    <col min="43" max="43" width="25.140625" style="7" customWidth="1"/>
    <col min="44" max="44" width="9.28515625" style="7" customWidth="1"/>
    <col min="45" max="45" width="11.5703125" bestFit="1" customWidth="1"/>
  </cols>
  <sheetData>
    <row r="1" spans="1:44" s="1" customFormat="1" ht="16.5" customHeight="1" x14ac:dyDescent="0.25">
      <c r="A1" s="22" t="s">
        <v>19</v>
      </c>
      <c r="B1" s="22"/>
      <c r="C1" s="22"/>
      <c r="D1" s="13"/>
      <c r="E1" s="3" t="s">
        <v>63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22"/>
      <c r="R1" s="3"/>
      <c r="S1" s="27"/>
      <c r="T1" s="22"/>
      <c r="U1" s="22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22"/>
      <c r="AJ1" s="3"/>
      <c r="AK1" s="21"/>
      <c r="AL1" s="63"/>
      <c r="AM1" s="21"/>
      <c r="AN1" s="3"/>
      <c r="AO1" s="3"/>
      <c r="AP1" s="3"/>
      <c r="AQ1" s="3"/>
      <c r="AR1" s="3"/>
    </row>
    <row r="2" spans="1:44" s="1" customFormat="1" ht="16.5" customHeight="1" x14ac:dyDescent="0.25">
      <c r="A2" s="22" t="s">
        <v>18</v>
      </c>
      <c r="B2" s="22"/>
      <c r="C2" s="22"/>
      <c r="D2" s="4"/>
      <c r="E2" s="4" t="s">
        <v>64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22"/>
      <c r="R2" s="4"/>
      <c r="S2" s="27"/>
      <c r="T2" s="22"/>
      <c r="U2" s="22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22"/>
      <c r="AJ2" s="4"/>
      <c r="AK2" s="21"/>
      <c r="AL2" s="63"/>
      <c r="AM2" s="21"/>
      <c r="AN2" s="4"/>
      <c r="AO2" s="4"/>
      <c r="AP2" s="4"/>
      <c r="AQ2" s="4"/>
      <c r="AR2" s="4"/>
    </row>
    <row r="3" spans="1:44" s="1" customFormat="1" ht="16.5" customHeight="1" x14ac:dyDescent="0.25">
      <c r="A3" s="22" t="s">
        <v>17</v>
      </c>
      <c r="B3" s="22"/>
      <c r="C3" s="22"/>
      <c r="D3" s="4"/>
      <c r="E3" s="4" t="s">
        <v>65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22"/>
      <c r="R3" s="4"/>
      <c r="S3" s="27"/>
      <c r="T3" s="22"/>
      <c r="U3" s="22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22"/>
      <c r="AJ3" s="4"/>
      <c r="AK3" s="21"/>
      <c r="AL3" s="63"/>
      <c r="AM3" s="21"/>
      <c r="AN3" s="4"/>
      <c r="AO3" s="4"/>
      <c r="AP3" s="4"/>
      <c r="AQ3" s="4"/>
      <c r="AR3" s="4"/>
    </row>
    <row r="4" spans="1:44" s="1" customFormat="1" ht="16.5" customHeight="1" x14ac:dyDescent="0.2">
      <c r="A4" s="22" t="s">
        <v>16</v>
      </c>
      <c r="B4" s="22"/>
      <c r="C4" s="22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22"/>
      <c r="R4" s="7"/>
      <c r="S4" s="27"/>
      <c r="T4" s="22"/>
      <c r="U4" s="22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22"/>
      <c r="AJ4" s="7"/>
      <c r="AK4" s="21"/>
      <c r="AL4" s="63"/>
      <c r="AM4" s="21"/>
      <c r="AN4" s="7"/>
      <c r="AO4" s="7"/>
      <c r="AP4" s="7"/>
      <c r="AQ4" s="7"/>
      <c r="AR4" s="7"/>
    </row>
    <row r="5" spans="1:44" s="1" customFormat="1" x14ac:dyDescent="0.2">
      <c r="A5" s="5" t="s">
        <v>111</v>
      </c>
      <c r="B5" s="17"/>
      <c r="C5" s="1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17"/>
      <c r="R5" s="7"/>
      <c r="S5" s="28"/>
      <c r="T5" s="17"/>
      <c r="U5" s="1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17"/>
      <c r="AJ5" s="7"/>
      <c r="AK5" s="17"/>
      <c r="AL5" s="28"/>
      <c r="AM5" s="17"/>
      <c r="AN5" s="7"/>
      <c r="AO5" s="7"/>
      <c r="AP5" s="7"/>
      <c r="AQ5" s="7"/>
      <c r="AR5" s="7"/>
    </row>
    <row r="6" spans="1:44" s="1" customFormat="1" ht="15.75" customHeight="1" x14ac:dyDescent="0.2">
      <c r="A6" s="91" t="s">
        <v>15</v>
      </c>
      <c r="B6" s="36" t="s">
        <v>14</v>
      </c>
      <c r="C6" s="37"/>
      <c r="D6" s="19"/>
      <c r="E6" s="14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19"/>
      <c r="R6" s="20"/>
      <c r="S6" s="19"/>
      <c r="T6" s="19"/>
      <c r="U6" s="19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14"/>
      <c r="AI6" s="19"/>
      <c r="AJ6" s="20"/>
      <c r="AK6" s="24"/>
      <c r="AL6" s="24"/>
      <c r="AM6" s="24"/>
      <c r="AN6" s="20"/>
      <c r="AO6" s="20"/>
      <c r="AP6" s="20"/>
      <c r="AQ6" s="20"/>
      <c r="AR6" s="20"/>
    </row>
    <row r="7" spans="1:44" s="8" customFormat="1" ht="71.25" customHeight="1" x14ac:dyDescent="0.2">
      <c r="A7" s="92"/>
      <c r="B7" s="93" t="s">
        <v>13</v>
      </c>
      <c r="C7" s="94" t="s">
        <v>48</v>
      </c>
      <c r="D7" s="54" t="s">
        <v>80</v>
      </c>
      <c r="E7" s="54" t="s">
        <v>81</v>
      </c>
      <c r="F7" s="55" t="s">
        <v>82</v>
      </c>
      <c r="G7" s="55" t="s">
        <v>82</v>
      </c>
      <c r="H7" s="54" t="s">
        <v>80</v>
      </c>
      <c r="I7" s="55" t="s">
        <v>86</v>
      </c>
      <c r="J7" s="55" t="s">
        <v>88</v>
      </c>
      <c r="K7" s="55" t="s">
        <v>89</v>
      </c>
      <c r="L7" s="55" t="s">
        <v>89</v>
      </c>
      <c r="M7" s="55" t="s">
        <v>91</v>
      </c>
      <c r="N7" s="55" t="s">
        <v>91</v>
      </c>
      <c r="O7" s="55" t="s">
        <v>81</v>
      </c>
      <c r="P7" s="55" t="s">
        <v>81</v>
      </c>
      <c r="Q7" s="94" t="s">
        <v>48</v>
      </c>
      <c r="R7" s="55" t="s">
        <v>94</v>
      </c>
      <c r="S7" s="45" t="s">
        <v>49</v>
      </c>
      <c r="T7" s="46" t="s">
        <v>13</v>
      </c>
      <c r="U7" s="89" t="s">
        <v>62</v>
      </c>
      <c r="V7" s="44" t="s">
        <v>95</v>
      </c>
      <c r="W7" s="44" t="s">
        <v>96</v>
      </c>
      <c r="X7" s="44" t="s">
        <v>98</v>
      </c>
      <c r="Y7" s="44" t="s">
        <v>98</v>
      </c>
      <c r="Z7" s="44" t="s">
        <v>102</v>
      </c>
      <c r="AA7" s="44" t="s">
        <v>86</v>
      </c>
      <c r="AB7" s="44" t="s">
        <v>86</v>
      </c>
      <c r="AC7" s="44" t="s">
        <v>106</v>
      </c>
      <c r="AD7" s="44" t="s">
        <v>86</v>
      </c>
      <c r="AE7" s="44" t="s">
        <v>91</v>
      </c>
      <c r="AF7" s="44" t="s">
        <v>91</v>
      </c>
      <c r="AG7" s="44" t="s">
        <v>91</v>
      </c>
      <c r="AH7" s="43" t="s">
        <v>100</v>
      </c>
      <c r="AI7" s="89" t="s">
        <v>62</v>
      </c>
      <c r="AJ7" s="44" t="s">
        <v>100</v>
      </c>
      <c r="AK7" s="88" t="s">
        <v>15</v>
      </c>
      <c r="AL7" s="87" t="s">
        <v>13</v>
      </c>
      <c r="AM7" s="87" t="s">
        <v>60</v>
      </c>
      <c r="AN7" s="55" t="s">
        <v>108</v>
      </c>
      <c r="AO7" s="88" t="s">
        <v>49</v>
      </c>
      <c r="AP7" s="87" t="s">
        <v>13</v>
      </c>
      <c r="AQ7" s="87" t="s">
        <v>61</v>
      </c>
      <c r="AR7" s="55" t="s">
        <v>109</v>
      </c>
    </row>
    <row r="8" spans="1:44" s="8" customFormat="1" ht="22.5" customHeight="1" x14ac:dyDescent="0.2">
      <c r="A8" s="92"/>
      <c r="B8" s="93"/>
      <c r="C8" s="95"/>
      <c r="D8" s="57" t="s">
        <v>28</v>
      </c>
      <c r="E8" s="57" t="s">
        <v>33</v>
      </c>
      <c r="F8" s="58" t="s">
        <v>83</v>
      </c>
      <c r="G8" s="58" t="s">
        <v>84</v>
      </c>
      <c r="H8" s="44" t="s">
        <v>85</v>
      </c>
      <c r="I8" s="58" t="s">
        <v>87</v>
      </c>
      <c r="J8" s="58" t="s">
        <v>27</v>
      </c>
      <c r="K8" s="58" t="s">
        <v>30</v>
      </c>
      <c r="L8" s="58" t="s">
        <v>90</v>
      </c>
      <c r="M8" s="58" t="s">
        <v>92</v>
      </c>
      <c r="N8" s="58" t="s">
        <v>93</v>
      </c>
      <c r="O8" s="58" t="s">
        <v>90</v>
      </c>
      <c r="P8" s="58" t="s">
        <v>92</v>
      </c>
      <c r="Q8" s="95"/>
      <c r="R8" s="58" t="s">
        <v>29</v>
      </c>
      <c r="S8" s="59"/>
      <c r="T8" s="59"/>
      <c r="U8" s="90"/>
      <c r="V8" s="60" t="s">
        <v>32</v>
      </c>
      <c r="W8" s="60" t="s">
        <v>97</v>
      </c>
      <c r="X8" s="60" t="s">
        <v>99</v>
      </c>
      <c r="Y8" s="60" t="s">
        <v>67</v>
      </c>
      <c r="Z8" s="60" t="s">
        <v>103</v>
      </c>
      <c r="AA8" s="60" t="s">
        <v>104</v>
      </c>
      <c r="AB8" s="60" t="s">
        <v>105</v>
      </c>
      <c r="AC8" s="60" t="s">
        <v>31</v>
      </c>
      <c r="AD8" s="60" t="s">
        <v>107</v>
      </c>
      <c r="AE8" s="60" t="s">
        <v>31</v>
      </c>
      <c r="AF8" s="60" t="s">
        <v>25</v>
      </c>
      <c r="AG8" s="61" t="s">
        <v>26</v>
      </c>
      <c r="AH8" s="61" t="s">
        <v>66</v>
      </c>
      <c r="AI8" s="90"/>
      <c r="AJ8" s="60" t="s">
        <v>101</v>
      </c>
      <c r="AK8" s="88"/>
      <c r="AL8" s="87"/>
      <c r="AM8" s="87"/>
      <c r="AN8" s="56" t="s">
        <v>93</v>
      </c>
      <c r="AO8" s="88"/>
      <c r="AP8" s="87"/>
      <c r="AQ8" s="87"/>
      <c r="AR8" s="56" t="s">
        <v>110</v>
      </c>
    </row>
    <row r="9" spans="1:44" s="1" customFormat="1" ht="12.75" customHeight="1" x14ac:dyDescent="0.2">
      <c r="A9" s="31" t="s">
        <v>12</v>
      </c>
      <c r="B9" s="38"/>
      <c r="C9" s="32">
        <f>SUM(C10:C13)</f>
        <v>1.1700000000000002</v>
      </c>
      <c r="D9" s="10">
        <f t="shared" ref="D9" si="0">SUM(D10:D13)</f>
        <v>5686.2000000000007</v>
      </c>
      <c r="E9" s="10">
        <f t="shared" ref="E9:P9" si="1">SUM(E10:E13)</f>
        <v>5920.6680000000006</v>
      </c>
      <c r="F9" s="10">
        <f t="shared" si="1"/>
        <v>10146.708000000002</v>
      </c>
      <c r="G9" s="10">
        <f t="shared" si="1"/>
        <v>7276.9319999999989</v>
      </c>
      <c r="H9" s="10">
        <f t="shared" si="1"/>
        <v>10142.496000000001</v>
      </c>
      <c r="I9" s="10">
        <f t="shared" si="1"/>
        <v>4167.072000000001</v>
      </c>
      <c r="J9" s="10">
        <f t="shared" si="1"/>
        <v>5732.5320000000011</v>
      </c>
      <c r="K9" s="10">
        <f t="shared" si="1"/>
        <v>4634.6040000000012</v>
      </c>
      <c r="L9" s="10">
        <f t="shared" si="1"/>
        <v>6567.9120000000003</v>
      </c>
      <c r="M9" s="10">
        <f t="shared" si="1"/>
        <v>6520.1760000000004</v>
      </c>
      <c r="N9" s="10">
        <f t="shared" si="1"/>
        <v>6701.2920000000004</v>
      </c>
      <c r="O9" s="10">
        <f t="shared" si="1"/>
        <v>5127.4080000000004</v>
      </c>
      <c r="P9" s="10">
        <f t="shared" si="1"/>
        <v>6009.1200000000008</v>
      </c>
      <c r="Q9" s="32">
        <f>SUM(Q10:Q13)</f>
        <v>1.1700000000000002</v>
      </c>
      <c r="R9" s="10">
        <f>SUM(R10:R13)</f>
        <v>8711.82</v>
      </c>
      <c r="S9" s="47" t="s">
        <v>12</v>
      </c>
      <c r="T9" s="48"/>
      <c r="U9" s="32">
        <f>SUM(U10:U13)</f>
        <v>1.1700000000000002</v>
      </c>
      <c r="V9" s="10">
        <f t="shared" ref="V9:AH9" si="2">SUM(V10:V12)</f>
        <v>5770.4400000000005</v>
      </c>
      <c r="W9" s="10">
        <f t="shared" si="2"/>
        <v>3943.8360000000002</v>
      </c>
      <c r="X9" s="10">
        <f t="shared" si="2"/>
        <v>5651.1</v>
      </c>
      <c r="Y9" s="10">
        <f t="shared" si="2"/>
        <v>5756.4000000000005</v>
      </c>
      <c r="Z9" s="10">
        <f t="shared" si="2"/>
        <v>5847.66</v>
      </c>
      <c r="AA9" s="10">
        <f t="shared" si="2"/>
        <v>7664.4360000000006</v>
      </c>
      <c r="AB9" s="10">
        <f t="shared" si="2"/>
        <v>7740.2519999999995</v>
      </c>
      <c r="AC9" s="10">
        <f t="shared" si="2"/>
        <v>5375.9160000000002</v>
      </c>
      <c r="AD9" s="10">
        <f t="shared" si="2"/>
        <v>8137.5840000000007</v>
      </c>
      <c r="AE9" s="10">
        <f t="shared" si="2"/>
        <v>5829.4080000000004</v>
      </c>
      <c r="AF9" s="10">
        <f t="shared" si="2"/>
        <v>5934.7080000000005</v>
      </c>
      <c r="AG9" s="10">
        <f t="shared" si="2"/>
        <v>4700.5920000000006</v>
      </c>
      <c r="AH9" s="10">
        <f t="shared" si="2"/>
        <v>7825.8959999999997</v>
      </c>
      <c r="AI9" s="32">
        <f>SUM(AI10:AI13)</f>
        <v>1.1700000000000002</v>
      </c>
      <c r="AJ9" s="10">
        <f>SUM(AJ10:AJ12)</f>
        <v>10617.048000000001</v>
      </c>
      <c r="AK9" s="47" t="s">
        <v>12</v>
      </c>
      <c r="AL9" s="39"/>
      <c r="AM9" s="32">
        <f>SUM(AM10:AM13)</f>
        <v>1.1700000000000002</v>
      </c>
      <c r="AN9" s="10">
        <f t="shared" ref="AN9" si="3">SUM(AN10:AN12)</f>
        <v>8436.6360000000004</v>
      </c>
      <c r="AO9" s="47" t="s">
        <v>12</v>
      </c>
      <c r="AP9" s="48"/>
      <c r="AQ9" s="32">
        <f>SUM(AQ10:AQ13)</f>
        <v>1.1700000000000002</v>
      </c>
      <c r="AR9" s="10">
        <f>SUM(AR10:AR12)</f>
        <v>7223.58</v>
      </c>
    </row>
    <row r="10" spans="1:44" s="1" customFormat="1" ht="12.75" customHeight="1" x14ac:dyDescent="0.2">
      <c r="A10" s="30" t="s">
        <v>20</v>
      </c>
      <c r="B10" s="38" t="s">
        <v>43</v>
      </c>
      <c r="C10" s="29">
        <v>1.1200000000000001</v>
      </c>
      <c r="D10" s="9">
        <f>$C$10*D38*12</f>
        <v>5443.2000000000007</v>
      </c>
      <c r="E10" s="9">
        <f t="shared" ref="E10:P10" si="4">$C$10*E38*12</f>
        <v>5667.6480000000001</v>
      </c>
      <c r="F10" s="9">
        <f t="shared" si="4"/>
        <v>9713.0880000000016</v>
      </c>
      <c r="G10" s="9">
        <f t="shared" si="4"/>
        <v>6965.9519999999993</v>
      </c>
      <c r="H10" s="9">
        <f t="shared" si="4"/>
        <v>9709.0560000000005</v>
      </c>
      <c r="I10" s="9">
        <f t="shared" si="4"/>
        <v>3988.9920000000006</v>
      </c>
      <c r="J10" s="9">
        <f t="shared" si="4"/>
        <v>5487.5520000000006</v>
      </c>
      <c r="K10" s="9">
        <f t="shared" si="4"/>
        <v>4436.5440000000008</v>
      </c>
      <c r="L10" s="9">
        <f t="shared" si="4"/>
        <v>6287.232</v>
      </c>
      <c r="M10" s="9">
        <f t="shared" si="4"/>
        <v>6241.5360000000001</v>
      </c>
      <c r="N10" s="9">
        <f t="shared" si="4"/>
        <v>6414.9120000000003</v>
      </c>
      <c r="O10" s="9">
        <f t="shared" si="4"/>
        <v>4908.2880000000005</v>
      </c>
      <c r="P10" s="9">
        <f t="shared" si="4"/>
        <v>5752.3200000000006</v>
      </c>
      <c r="Q10" s="29">
        <v>1.1200000000000001</v>
      </c>
      <c r="R10" s="9">
        <f>$C$10*R38*12</f>
        <v>8339.52</v>
      </c>
      <c r="S10" s="49" t="s">
        <v>20</v>
      </c>
      <c r="T10" s="29" t="s">
        <v>50</v>
      </c>
      <c r="U10" s="29">
        <v>1.1200000000000001</v>
      </c>
      <c r="V10" s="62">
        <f>$U$10*V38*12</f>
        <v>5523.84</v>
      </c>
      <c r="W10" s="62">
        <f t="shared" ref="W10:AH10" si="5">$U$10*W38*12</f>
        <v>3775.2960000000003</v>
      </c>
      <c r="X10" s="62">
        <f t="shared" si="5"/>
        <v>5409.6</v>
      </c>
      <c r="Y10" s="62">
        <f t="shared" si="5"/>
        <v>5510.4000000000005</v>
      </c>
      <c r="Z10" s="62">
        <f t="shared" si="5"/>
        <v>5597.76</v>
      </c>
      <c r="AA10" s="62">
        <f t="shared" si="5"/>
        <v>7336.8960000000006</v>
      </c>
      <c r="AB10" s="62">
        <f t="shared" si="5"/>
        <v>7409.4719999999998</v>
      </c>
      <c r="AC10" s="62">
        <f t="shared" si="5"/>
        <v>5146.1760000000004</v>
      </c>
      <c r="AD10" s="62">
        <f t="shared" si="5"/>
        <v>7789.8240000000005</v>
      </c>
      <c r="AE10" s="62">
        <f t="shared" si="5"/>
        <v>5580.2880000000005</v>
      </c>
      <c r="AF10" s="62">
        <f t="shared" si="5"/>
        <v>5681.0880000000006</v>
      </c>
      <c r="AG10" s="62">
        <f t="shared" si="5"/>
        <v>4499.7120000000004</v>
      </c>
      <c r="AH10" s="62">
        <f t="shared" si="5"/>
        <v>7491.4560000000001</v>
      </c>
      <c r="AI10" s="29">
        <v>1.1200000000000001</v>
      </c>
      <c r="AJ10" s="62">
        <f>$U$10*AJ38*12</f>
        <v>10163.328000000001</v>
      </c>
      <c r="AK10" s="50" t="s">
        <v>20</v>
      </c>
      <c r="AL10" s="39" t="s">
        <v>43</v>
      </c>
      <c r="AM10" s="29">
        <v>1.1200000000000001</v>
      </c>
      <c r="AN10" s="62">
        <f>$AM$10*AN38*12</f>
        <v>8076.0960000000005</v>
      </c>
      <c r="AO10" s="49" t="s">
        <v>20</v>
      </c>
      <c r="AP10" s="29" t="s">
        <v>50</v>
      </c>
      <c r="AQ10" s="29">
        <v>1.1200000000000001</v>
      </c>
      <c r="AR10" s="62">
        <f>$AQ$10*AR38*12</f>
        <v>6914.88</v>
      </c>
    </row>
    <row r="11" spans="1:44" s="1" customFormat="1" ht="27.75" customHeight="1" x14ac:dyDescent="0.2">
      <c r="A11" s="30" t="s">
        <v>34</v>
      </c>
      <c r="B11" s="38" t="s">
        <v>44</v>
      </c>
      <c r="C11" s="29">
        <v>0.05</v>
      </c>
      <c r="D11" s="9">
        <f>$C$11*D38*12</f>
        <v>243</v>
      </c>
      <c r="E11" s="9">
        <f t="shared" ref="E11:P11" si="6">$C$11*E38*12</f>
        <v>253.02</v>
      </c>
      <c r="F11" s="9">
        <f t="shared" si="6"/>
        <v>433.62000000000006</v>
      </c>
      <c r="G11" s="9">
        <f t="shared" si="6"/>
        <v>310.98</v>
      </c>
      <c r="H11" s="9">
        <f t="shared" si="6"/>
        <v>433.43999999999994</v>
      </c>
      <c r="I11" s="9">
        <f t="shared" si="6"/>
        <v>178.08</v>
      </c>
      <c r="J11" s="9">
        <f t="shared" si="6"/>
        <v>244.98000000000002</v>
      </c>
      <c r="K11" s="9">
        <f t="shared" si="6"/>
        <v>198.06000000000003</v>
      </c>
      <c r="L11" s="9">
        <f t="shared" si="6"/>
        <v>280.68</v>
      </c>
      <c r="M11" s="9">
        <f t="shared" si="6"/>
        <v>278.64</v>
      </c>
      <c r="N11" s="9">
        <f t="shared" si="6"/>
        <v>286.38</v>
      </c>
      <c r="O11" s="9">
        <f t="shared" si="6"/>
        <v>219.12</v>
      </c>
      <c r="P11" s="9">
        <f t="shared" si="6"/>
        <v>256.8</v>
      </c>
      <c r="Q11" s="29">
        <v>0.05</v>
      </c>
      <c r="R11" s="9">
        <f>$C$11*R38*12</f>
        <v>372.3</v>
      </c>
      <c r="S11" s="50" t="s">
        <v>34</v>
      </c>
      <c r="T11" s="29" t="s">
        <v>51</v>
      </c>
      <c r="U11" s="29">
        <v>0.05</v>
      </c>
      <c r="V11" s="9">
        <f>$U$11*V38*12</f>
        <v>246.60000000000002</v>
      </c>
      <c r="W11" s="9">
        <f t="shared" ref="W11:AH11" si="7">$U$11*W38*12</f>
        <v>168.54</v>
      </c>
      <c r="X11" s="9">
        <f t="shared" si="7"/>
        <v>241.5</v>
      </c>
      <c r="Y11" s="9">
        <f t="shared" si="7"/>
        <v>246</v>
      </c>
      <c r="Z11" s="9">
        <f t="shared" si="7"/>
        <v>249.90000000000003</v>
      </c>
      <c r="AA11" s="9">
        <f t="shared" si="7"/>
        <v>327.54000000000002</v>
      </c>
      <c r="AB11" s="9">
        <f t="shared" si="7"/>
        <v>330.78</v>
      </c>
      <c r="AC11" s="9">
        <f t="shared" si="7"/>
        <v>229.74</v>
      </c>
      <c r="AD11" s="9">
        <f t="shared" si="7"/>
        <v>347.76000000000005</v>
      </c>
      <c r="AE11" s="9">
        <f t="shared" si="7"/>
        <v>249.12</v>
      </c>
      <c r="AF11" s="9">
        <f t="shared" si="7"/>
        <v>253.62</v>
      </c>
      <c r="AG11" s="9">
        <f t="shared" si="7"/>
        <v>200.88000000000002</v>
      </c>
      <c r="AH11" s="9">
        <f t="shared" si="7"/>
        <v>334.44</v>
      </c>
      <c r="AI11" s="29">
        <v>0.05</v>
      </c>
      <c r="AJ11" s="9">
        <f>$U$11*AJ38*12</f>
        <v>453.72</v>
      </c>
      <c r="AK11" s="50" t="s">
        <v>34</v>
      </c>
      <c r="AL11" s="39" t="s">
        <v>44</v>
      </c>
      <c r="AM11" s="29">
        <v>0.05</v>
      </c>
      <c r="AN11" s="9">
        <f>$AM$11*AN38*12</f>
        <v>360.54</v>
      </c>
      <c r="AO11" s="50" t="s">
        <v>34</v>
      </c>
      <c r="AP11" s="29" t="s">
        <v>51</v>
      </c>
      <c r="AQ11" s="29">
        <v>0.05</v>
      </c>
      <c r="AR11" s="9">
        <f>$AQ$11*AR38*12</f>
        <v>308.70000000000005</v>
      </c>
    </row>
    <row r="12" spans="1:44" s="26" customFormat="1" x14ac:dyDescent="0.2">
      <c r="A12" s="30"/>
      <c r="B12" s="38"/>
      <c r="C12" s="39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39"/>
      <c r="R12" s="25"/>
      <c r="S12" s="67"/>
      <c r="T12" s="39"/>
      <c r="U12" s="39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39"/>
      <c r="AJ12" s="25"/>
      <c r="AK12" s="30"/>
      <c r="AL12" s="39"/>
      <c r="AM12" s="39"/>
      <c r="AN12" s="25"/>
      <c r="AO12" s="67"/>
      <c r="AP12" s="39"/>
      <c r="AQ12" s="39"/>
      <c r="AR12" s="25"/>
    </row>
    <row r="13" spans="1:44" s="26" customFormat="1" x14ac:dyDescent="0.2">
      <c r="A13" s="30"/>
      <c r="B13" s="38"/>
      <c r="C13" s="39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39"/>
      <c r="R13" s="25"/>
      <c r="S13" s="68"/>
      <c r="T13" s="68"/>
      <c r="U13" s="68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68"/>
      <c r="AJ13" s="25"/>
      <c r="AK13" s="30"/>
      <c r="AL13" s="39"/>
      <c r="AM13" s="39"/>
      <c r="AN13" s="25"/>
      <c r="AO13" s="67"/>
      <c r="AP13" s="39"/>
      <c r="AQ13" s="39"/>
      <c r="AR13" s="25"/>
    </row>
    <row r="14" spans="1:44" s="26" customFormat="1" ht="37.5" customHeight="1" x14ac:dyDescent="0.2">
      <c r="A14" s="31" t="s">
        <v>11</v>
      </c>
      <c r="B14" s="38"/>
      <c r="C14" s="34">
        <f>SUM(C15:C21)</f>
        <v>4.4300000000000006</v>
      </c>
      <c r="D14" s="69">
        <f>SUM(D15:D21)</f>
        <v>21529.800000000003</v>
      </c>
      <c r="E14" s="69">
        <f t="shared" ref="E14:P14" si="8">SUM(E15:E21)</f>
        <v>22417.572</v>
      </c>
      <c r="F14" s="69">
        <f t="shared" si="8"/>
        <v>38418.732000000004</v>
      </c>
      <c r="G14" s="69">
        <f t="shared" si="8"/>
        <v>27552.827999999998</v>
      </c>
      <c r="H14" s="69">
        <f t="shared" si="8"/>
        <v>38402.784</v>
      </c>
      <c r="I14" s="69">
        <f t="shared" si="8"/>
        <v>15777.888000000003</v>
      </c>
      <c r="J14" s="69">
        <f t="shared" si="8"/>
        <v>21705.228000000003</v>
      </c>
      <c r="K14" s="69">
        <f t="shared" si="8"/>
        <v>17548.116000000002</v>
      </c>
      <c r="L14" s="69">
        <f t="shared" si="8"/>
        <v>24868.248</v>
      </c>
      <c r="M14" s="69">
        <f t="shared" si="8"/>
        <v>24687.504000000001</v>
      </c>
      <c r="N14" s="69">
        <f t="shared" si="8"/>
        <v>25373.268000000004</v>
      </c>
      <c r="O14" s="69">
        <f t="shared" si="8"/>
        <v>19414.031999999999</v>
      </c>
      <c r="P14" s="69">
        <f t="shared" si="8"/>
        <v>22752.480000000003</v>
      </c>
      <c r="Q14" s="34">
        <f>SUM(Q15:Q21)</f>
        <v>9.23</v>
      </c>
      <c r="R14" s="69">
        <f>SUM(R15:R21)</f>
        <v>68726.58</v>
      </c>
      <c r="S14" s="31" t="s">
        <v>11</v>
      </c>
      <c r="T14" s="39"/>
      <c r="U14" s="34">
        <f>SUM(U15:U21)</f>
        <v>4.58</v>
      </c>
      <c r="V14" s="69">
        <f t="shared" ref="V14:AH14" si="9">SUM(V15:V21)</f>
        <v>22588.559999999998</v>
      </c>
      <c r="W14" s="69">
        <f t="shared" si="9"/>
        <v>15438.263999999999</v>
      </c>
      <c r="X14" s="69">
        <f t="shared" si="9"/>
        <v>22121.4</v>
      </c>
      <c r="Y14" s="69">
        <f t="shared" si="9"/>
        <v>22533.600000000002</v>
      </c>
      <c r="Z14" s="69">
        <f t="shared" si="9"/>
        <v>22890.84</v>
      </c>
      <c r="AA14" s="69">
        <f t="shared" si="9"/>
        <v>30002.663999999997</v>
      </c>
      <c r="AB14" s="69">
        <f t="shared" si="9"/>
        <v>30299.448</v>
      </c>
      <c r="AC14" s="69">
        <f t="shared" si="9"/>
        <v>21044.184000000001</v>
      </c>
      <c r="AD14" s="69">
        <f t="shared" si="9"/>
        <v>31854.816000000006</v>
      </c>
      <c r="AE14" s="69">
        <f t="shared" si="9"/>
        <v>22819.392</v>
      </c>
      <c r="AF14" s="69">
        <f t="shared" si="9"/>
        <v>23231.591999999997</v>
      </c>
      <c r="AG14" s="69">
        <f t="shared" si="9"/>
        <v>18400.608</v>
      </c>
      <c r="AH14" s="69">
        <f t="shared" si="9"/>
        <v>30634.703999999998</v>
      </c>
      <c r="AI14" s="34">
        <f>SUM(AI15:AI21)</f>
        <v>9.3800000000000008</v>
      </c>
      <c r="AJ14" s="69">
        <f>SUM(AJ15:AJ21)</f>
        <v>85117.872000000003</v>
      </c>
      <c r="AK14" s="31" t="s">
        <v>11</v>
      </c>
      <c r="AL14" s="39"/>
      <c r="AM14" s="34">
        <f>SUM(AM15:AM21)</f>
        <v>4.4300000000000006</v>
      </c>
      <c r="AN14" s="69">
        <f t="shared" ref="AN14" si="10">SUM(AN15:AN21)</f>
        <v>31943.843999999997</v>
      </c>
      <c r="AO14" s="31" t="s">
        <v>11</v>
      </c>
      <c r="AP14" s="39"/>
      <c r="AQ14" s="34">
        <f>SUM(AQ15:AQ21)</f>
        <v>4.58</v>
      </c>
      <c r="AR14" s="69">
        <f>SUM(AR15:AR21)</f>
        <v>28276.920000000002</v>
      </c>
    </row>
    <row r="15" spans="1:44" s="26" customFormat="1" x14ac:dyDescent="0.2">
      <c r="A15" s="30" t="s">
        <v>35</v>
      </c>
      <c r="B15" s="38" t="s">
        <v>21</v>
      </c>
      <c r="C15" s="39">
        <v>0.41</v>
      </c>
      <c r="D15" s="25">
        <f t="shared" ref="D15:P15" si="11">$C$15*12*D38</f>
        <v>1992.6</v>
      </c>
      <c r="E15" s="25">
        <f t="shared" si="11"/>
        <v>2074.7640000000001</v>
      </c>
      <c r="F15" s="25">
        <f t="shared" si="11"/>
        <v>3555.6840000000002</v>
      </c>
      <c r="G15" s="25">
        <f t="shared" si="11"/>
        <v>2550.0359999999996</v>
      </c>
      <c r="H15" s="25">
        <f t="shared" si="11"/>
        <v>3554.2079999999996</v>
      </c>
      <c r="I15" s="25">
        <f t="shared" si="11"/>
        <v>1460.2560000000001</v>
      </c>
      <c r="J15" s="25">
        <f t="shared" si="11"/>
        <v>2008.836</v>
      </c>
      <c r="K15" s="25">
        <f t="shared" si="11"/>
        <v>1624.0920000000001</v>
      </c>
      <c r="L15" s="25">
        <f t="shared" si="11"/>
        <v>2301.576</v>
      </c>
      <c r="M15" s="25">
        <f t="shared" si="11"/>
        <v>2284.848</v>
      </c>
      <c r="N15" s="25">
        <f t="shared" si="11"/>
        <v>2348.3159999999998</v>
      </c>
      <c r="O15" s="25">
        <f t="shared" si="11"/>
        <v>1796.7839999999999</v>
      </c>
      <c r="P15" s="25">
        <f t="shared" si="11"/>
        <v>2105.7599999999998</v>
      </c>
      <c r="Q15" s="39">
        <f>0.41+1.85</f>
        <v>2.2600000000000002</v>
      </c>
      <c r="R15" s="25">
        <f>Q15*12*R38</f>
        <v>16827.960000000003</v>
      </c>
      <c r="S15" s="67" t="s">
        <v>52</v>
      </c>
      <c r="T15" s="39" t="s">
        <v>21</v>
      </c>
      <c r="U15" s="39">
        <v>0.49</v>
      </c>
      <c r="V15" s="25">
        <f>$U$15*12*V38</f>
        <v>2416.6799999999998</v>
      </c>
      <c r="W15" s="25">
        <f t="shared" ref="W15:AH15" si="12">$U$15*12*W38</f>
        <v>1651.6919999999998</v>
      </c>
      <c r="X15" s="25">
        <f t="shared" si="12"/>
        <v>2366.6999999999998</v>
      </c>
      <c r="Y15" s="25">
        <f t="shared" si="12"/>
        <v>2410.8000000000002</v>
      </c>
      <c r="Z15" s="25">
        <f t="shared" si="12"/>
        <v>2449.02</v>
      </c>
      <c r="AA15" s="25">
        <f t="shared" si="12"/>
        <v>3209.8919999999998</v>
      </c>
      <c r="AB15" s="25">
        <f t="shared" si="12"/>
        <v>3241.6439999999998</v>
      </c>
      <c r="AC15" s="25">
        <f t="shared" si="12"/>
        <v>2251.4519999999998</v>
      </c>
      <c r="AD15" s="25">
        <f t="shared" si="12"/>
        <v>3408.0480000000002</v>
      </c>
      <c r="AE15" s="25">
        <f t="shared" si="12"/>
        <v>2441.3759999999997</v>
      </c>
      <c r="AF15" s="25">
        <f t="shared" si="12"/>
        <v>2485.4760000000001</v>
      </c>
      <c r="AG15" s="25">
        <f t="shared" si="12"/>
        <v>1968.624</v>
      </c>
      <c r="AH15" s="25">
        <f t="shared" si="12"/>
        <v>3277.5119999999997</v>
      </c>
      <c r="AI15" s="39">
        <f>0.49+1.85</f>
        <v>2.34</v>
      </c>
      <c r="AJ15" s="25">
        <f>AI15*12*AJ38</f>
        <v>21234.096000000001</v>
      </c>
      <c r="AK15" s="67" t="s">
        <v>35</v>
      </c>
      <c r="AL15" s="39" t="s">
        <v>21</v>
      </c>
      <c r="AM15" s="39">
        <v>0.41</v>
      </c>
      <c r="AN15" s="25">
        <f>$AM$15*12*AN38</f>
        <v>2956.4279999999999</v>
      </c>
      <c r="AO15" s="67" t="s">
        <v>52</v>
      </c>
      <c r="AP15" s="39" t="s">
        <v>21</v>
      </c>
      <c r="AQ15" s="39">
        <v>0.49</v>
      </c>
      <c r="AR15" s="25">
        <f>$AQ$15*12*AR38</f>
        <v>3025.2599999999998</v>
      </c>
    </row>
    <row r="16" spans="1:44" s="26" customFormat="1" x14ac:dyDescent="0.2">
      <c r="A16" s="30" t="s">
        <v>36</v>
      </c>
      <c r="B16" s="38" t="s">
        <v>10</v>
      </c>
      <c r="C16" s="39">
        <v>0.49</v>
      </c>
      <c r="D16" s="25">
        <f t="shared" ref="D16:P16" si="13">$C$16*12*D38</f>
        <v>2381.4</v>
      </c>
      <c r="E16" s="25">
        <f t="shared" si="13"/>
        <v>2479.596</v>
      </c>
      <c r="F16" s="25">
        <f t="shared" si="13"/>
        <v>4249.4760000000006</v>
      </c>
      <c r="G16" s="25">
        <f t="shared" si="13"/>
        <v>3047.6039999999998</v>
      </c>
      <c r="H16" s="25">
        <f t="shared" si="13"/>
        <v>4247.7119999999995</v>
      </c>
      <c r="I16" s="25">
        <f t="shared" si="13"/>
        <v>1745.184</v>
      </c>
      <c r="J16" s="25">
        <f t="shared" si="13"/>
        <v>2400.8040000000001</v>
      </c>
      <c r="K16" s="25">
        <f t="shared" si="13"/>
        <v>1940.9880000000001</v>
      </c>
      <c r="L16" s="25">
        <f t="shared" si="13"/>
        <v>2750.6640000000002</v>
      </c>
      <c r="M16" s="25">
        <f t="shared" si="13"/>
        <v>2730.672</v>
      </c>
      <c r="N16" s="25">
        <f t="shared" si="13"/>
        <v>2806.5239999999999</v>
      </c>
      <c r="O16" s="25">
        <f t="shared" si="13"/>
        <v>2147.3759999999997</v>
      </c>
      <c r="P16" s="25">
        <f t="shared" si="13"/>
        <v>2516.64</v>
      </c>
      <c r="Q16" s="39">
        <v>0.49</v>
      </c>
      <c r="R16" s="25">
        <f>$C$16*12*R38</f>
        <v>3648.54</v>
      </c>
      <c r="S16" s="67" t="s">
        <v>53</v>
      </c>
      <c r="T16" s="39" t="s">
        <v>10</v>
      </c>
      <c r="U16" s="39">
        <v>0.51</v>
      </c>
      <c r="V16" s="25">
        <f>$U$16*12*V38</f>
        <v>2515.3200000000002</v>
      </c>
      <c r="W16" s="25">
        <f t="shared" ref="W16:AH16" si="14">$U$16*12*W38</f>
        <v>1719.1079999999999</v>
      </c>
      <c r="X16" s="25">
        <f t="shared" si="14"/>
        <v>2463.3000000000002</v>
      </c>
      <c r="Y16" s="25">
        <f t="shared" si="14"/>
        <v>2509.1999999999998</v>
      </c>
      <c r="Z16" s="25">
        <f t="shared" si="14"/>
        <v>2548.98</v>
      </c>
      <c r="AA16" s="25">
        <f t="shared" si="14"/>
        <v>3340.9079999999999</v>
      </c>
      <c r="AB16" s="25">
        <f t="shared" si="14"/>
        <v>3373.9559999999997</v>
      </c>
      <c r="AC16" s="25">
        <f t="shared" si="14"/>
        <v>2343.348</v>
      </c>
      <c r="AD16" s="25">
        <f t="shared" si="14"/>
        <v>3547.152</v>
      </c>
      <c r="AE16" s="25">
        <f t="shared" si="14"/>
        <v>2541.0239999999999</v>
      </c>
      <c r="AF16" s="25">
        <f t="shared" si="14"/>
        <v>2586.924</v>
      </c>
      <c r="AG16" s="25">
        <f t="shared" si="14"/>
        <v>2048.9760000000001</v>
      </c>
      <c r="AH16" s="25">
        <f t="shared" si="14"/>
        <v>3411.288</v>
      </c>
      <c r="AI16" s="39">
        <v>0.51</v>
      </c>
      <c r="AJ16" s="25">
        <f>$U$16*12*AJ38</f>
        <v>4627.9440000000004</v>
      </c>
      <c r="AK16" s="67" t="s">
        <v>36</v>
      </c>
      <c r="AL16" s="39" t="s">
        <v>10</v>
      </c>
      <c r="AM16" s="39">
        <v>0.49</v>
      </c>
      <c r="AN16" s="25">
        <f>$AM$16*12*AN38</f>
        <v>3533.2919999999999</v>
      </c>
      <c r="AO16" s="67" t="s">
        <v>53</v>
      </c>
      <c r="AP16" s="39" t="s">
        <v>10</v>
      </c>
      <c r="AQ16" s="39">
        <v>0.51</v>
      </c>
      <c r="AR16" s="25">
        <f>$AQ$16*12*AR38</f>
        <v>3148.7400000000002</v>
      </c>
    </row>
    <row r="17" spans="1:44" s="26" customFormat="1" x14ac:dyDescent="0.2">
      <c r="A17" s="30" t="s">
        <v>37</v>
      </c>
      <c r="B17" s="38" t="s">
        <v>22</v>
      </c>
      <c r="C17" s="39">
        <v>0.37</v>
      </c>
      <c r="D17" s="25">
        <f t="shared" ref="D17:P17" si="15">$C$17*12*D38</f>
        <v>1798.1999999999998</v>
      </c>
      <c r="E17" s="25">
        <f t="shared" si="15"/>
        <v>1872.3479999999997</v>
      </c>
      <c r="F17" s="25">
        <f t="shared" si="15"/>
        <v>3208.788</v>
      </c>
      <c r="G17" s="25">
        <f t="shared" si="15"/>
        <v>2301.2519999999995</v>
      </c>
      <c r="H17" s="25">
        <f t="shared" si="15"/>
        <v>3207.4559999999997</v>
      </c>
      <c r="I17" s="25">
        <f t="shared" si="15"/>
        <v>1317.7919999999999</v>
      </c>
      <c r="J17" s="25">
        <f t="shared" si="15"/>
        <v>1812.8519999999999</v>
      </c>
      <c r="K17" s="25">
        <f t="shared" si="15"/>
        <v>1465.644</v>
      </c>
      <c r="L17" s="25">
        <f t="shared" si="15"/>
        <v>2077.0319999999997</v>
      </c>
      <c r="M17" s="25">
        <f t="shared" si="15"/>
        <v>2061.9359999999997</v>
      </c>
      <c r="N17" s="25">
        <f t="shared" si="15"/>
        <v>2119.212</v>
      </c>
      <c r="O17" s="25">
        <f t="shared" si="15"/>
        <v>1621.4879999999998</v>
      </c>
      <c r="P17" s="25">
        <f t="shared" si="15"/>
        <v>1900.3199999999997</v>
      </c>
      <c r="Q17" s="39">
        <f>0.37+1.51</f>
        <v>1.88</v>
      </c>
      <c r="R17" s="25">
        <f>Q17*12*R38</f>
        <v>13998.48</v>
      </c>
      <c r="S17" s="67" t="s">
        <v>37</v>
      </c>
      <c r="T17" s="39" t="s">
        <v>22</v>
      </c>
      <c r="U17" s="39">
        <v>0.39</v>
      </c>
      <c r="V17" s="25">
        <f>$U$17*12*V38</f>
        <v>1923.4799999999998</v>
      </c>
      <c r="W17" s="25">
        <f t="shared" ref="W17:AH17" si="16">$U$17*12*W38</f>
        <v>1314.6119999999999</v>
      </c>
      <c r="X17" s="25">
        <f t="shared" si="16"/>
        <v>1883.6999999999998</v>
      </c>
      <c r="Y17" s="25">
        <f t="shared" si="16"/>
        <v>1918.8</v>
      </c>
      <c r="Z17" s="25">
        <f t="shared" si="16"/>
        <v>1949.2199999999998</v>
      </c>
      <c r="AA17" s="25">
        <f t="shared" si="16"/>
        <v>2554.8119999999999</v>
      </c>
      <c r="AB17" s="25">
        <f t="shared" si="16"/>
        <v>2580.0839999999998</v>
      </c>
      <c r="AC17" s="25">
        <f t="shared" si="16"/>
        <v>1791.9719999999998</v>
      </c>
      <c r="AD17" s="25">
        <f t="shared" si="16"/>
        <v>2712.5279999999998</v>
      </c>
      <c r="AE17" s="25">
        <f t="shared" si="16"/>
        <v>1943.1359999999997</v>
      </c>
      <c r="AF17" s="25">
        <f t="shared" si="16"/>
        <v>1978.2359999999999</v>
      </c>
      <c r="AG17" s="25">
        <f t="shared" si="16"/>
        <v>1566.864</v>
      </c>
      <c r="AH17" s="25">
        <f t="shared" si="16"/>
        <v>2608.6319999999996</v>
      </c>
      <c r="AI17" s="39">
        <f>0.39+1.51</f>
        <v>1.9</v>
      </c>
      <c r="AJ17" s="25">
        <f>AI17*12*AJ38</f>
        <v>17241.36</v>
      </c>
      <c r="AK17" s="67" t="s">
        <v>37</v>
      </c>
      <c r="AL17" s="39" t="s">
        <v>22</v>
      </c>
      <c r="AM17" s="39">
        <v>0.37</v>
      </c>
      <c r="AN17" s="25">
        <f>$AM$17*12*AN38</f>
        <v>2667.9959999999996</v>
      </c>
      <c r="AO17" s="67" t="s">
        <v>37</v>
      </c>
      <c r="AP17" s="39" t="s">
        <v>22</v>
      </c>
      <c r="AQ17" s="39">
        <v>0.39</v>
      </c>
      <c r="AR17" s="25">
        <f>$AQ$17*12*AR38</f>
        <v>2407.8599999999997</v>
      </c>
    </row>
    <row r="18" spans="1:44" s="26" customFormat="1" ht="57.75" customHeight="1" x14ac:dyDescent="0.2">
      <c r="A18" s="33" t="s">
        <v>38</v>
      </c>
      <c r="B18" s="38" t="s">
        <v>9</v>
      </c>
      <c r="C18" s="39">
        <v>0.6</v>
      </c>
      <c r="D18" s="25">
        <f t="shared" ref="D18:P18" si="17">$C$18*12*D38</f>
        <v>2915.9999999999995</v>
      </c>
      <c r="E18" s="25">
        <f t="shared" si="17"/>
        <v>3036.24</v>
      </c>
      <c r="F18" s="25">
        <f t="shared" si="17"/>
        <v>5203.4399999999996</v>
      </c>
      <c r="G18" s="25">
        <f t="shared" si="17"/>
        <v>3731.7599999999993</v>
      </c>
      <c r="H18" s="25">
        <f t="shared" si="17"/>
        <v>5201.28</v>
      </c>
      <c r="I18" s="25">
        <f t="shared" si="17"/>
        <v>2136.96</v>
      </c>
      <c r="J18" s="25">
        <f t="shared" si="17"/>
        <v>2939.7599999999998</v>
      </c>
      <c r="K18" s="25">
        <f t="shared" si="17"/>
        <v>2376.7199999999998</v>
      </c>
      <c r="L18" s="25">
        <f t="shared" si="17"/>
        <v>3368.16</v>
      </c>
      <c r="M18" s="25">
        <f t="shared" si="17"/>
        <v>3343.6799999999994</v>
      </c>
      <c r="N18" s="25">
        <f t="shared" si="17"/>
        <v>3436.56</v>
      </c>
      <c r="O18" s="25">
        <f t="shared" si="17"/>
        <v>2629.4399999999996</v>
      </c>
      <c r="P18" s="25">
        <f t="shared" si="17"/>
        <v>3081.6</v>
      </c>
      <c r="Q18" s="39">
        <f>0.6+0.97</f>
        <v>1.5699999999999998</v>
      </c>
      <c r="R18" s="25">
        <f>Q18*12*R38</f>
        <v>11690.219999999998</v>
      </c>
      <c r="S18" s="33" t="s">
        <v>38</v>
      </c>
      <c r="T18" s="38" t="s">
        <v>9</v>
      </c>
      <c r="U18" s="39">
        <v>0.62</v>
      </c>
      <c r="V18" s="25">
        <f>$U$18*12*V38</f>
        <v>3057.8399999999997</v>
      </c>
      <c r="W18" s="25">
        <f t="shared" ref="W18:AH18" si="18">$U$18*12*W38</f>
        <v>2089.8959999999997</v>
      </c>
      <c r="X18" s="25">
        <f t="shared" si="18"/>
        <v>2994.6</v>
      </c>
      <c r="Y18" s="25">
        <f t="shared" si="18"/>
        <v>3050.3999999999996</v>
      </c>
      <c r="Z18" s="25">
        <f t="shared" si="18"/>
        <v>3098.7599999999998</v>
      </c>
      <c r="AA18" s="25">
        <f t="shared" si="18"/>
        <v>4061.4959999999996</v>
      </c>
      <c r="AB18" s="25">
        <f t="shared" si="18"/>
        <v>4101.6719999999996</v>
      </c>
      <c r="AC18" s="25">
        <f t="shared" si="18"/>
        <v>2848.7759999999998</v>
      </c>
      <c r="AD18" s="25">
        <f t="shared" si="18"/>
        <v>4312.2240000000002</v>
      </c>
      <c r="AE18" s="25">
        <f t="shared" si="18"/>
        <v>3089.0879999999997</v>
      </c>
      <c r="AF18" s="25">
        <f t="shared" si="18"/>
        <v>3144.8879999999999</v>
      </c>
      <c r="AG18" s="25">
        <f t="shared" si="18"/>
        <v>2490.9119999999998</v>
      </c>
      <c r="AH18" s="25">
        <f t="shared" si="18"/>
        <v>4147.0559999999996</v>
      </c>
      <c r="AI18" s="39">
        <f>0.62+0.97</f>
        <v>1.5899999999999999</v>
      </c>
      <c r="AJ18" s="25">
        <f>AI18*12*AJ38</f>
        <v>14428.296</v>
      </c>
      <c r="AK18" s="33" t="s">
        <v>38</v>
      </c>
      <c r="AL18" s="38" t="s">
        <v>9</v>
      </c>
      <c r="AM18" s="39">
        <v>0.6</v>
      </c>
      <c r="AN18" s="25">
        <f>$AM$18*12*AN38</f>
        <v>4326.4799999999996</v>
      </c>
      <c r="AO18" s="33" t="s">
        <v>38</v>
      </c>
      <c r="AP18" s="38" t="s">
        <v>9</v>
      </c>
      <c r="AQ18" s="39">
        <v>0.62</v>
      </c>
      <c r="AR18" s="25">
        <f>$AQ$18*12*AR38</f>
        <v>3827.8799999999997</v>
      </c>
    </row>
    <row r="19" spans="1:44" s="26" customFormat="1" ht="38.25" customHeight="1" x14ac:dyDescent="0.2">
      <c r="A19" s="30" t="s">
        <v>39</v>
      </c>
      <c r="B19" s="38" t="s">
        <v>44</v>
      </c>
      <c r="C19" s="39">
        <v>7.0000000000000007E-2</v>
      </c>
      <c r="D19" s="25">
        <f t="shared" ref="D19:P19" si="19">$C$19*12*D38</f>
        <v>340.20000000000005</v>
      </c>
      <c r="E19" s="25">
        <f t="shared" si="19"/>
        <v>354.22800000000001</v>
      </c>
      <c r="F19" s="25">
        <f t="shared" si="19"/>
        <v>607.0680000000001</v>
      </c>
      <c r="G19" s="25">
        <f t="shared" si="19"/>
        <v>435.37200000000001</v>
      </c>
      <c r="H19" s="25">
        <f t="shared" si="19"/>
        <v>606.81600000000003</v>
      </c>
      <c r="I19" s="25">
        <f t="shared" si="19"/>
        <v>249.31200000000004</v>
      </c>
      <c r="J19" s="25">
        <f t="shared" si="19"/>
        <v>342.97200000000004</v>
      </c>
      <c r="K19" s="25">
        <f t="shared" si="19"/>
        <v>277.28400000000005</v>
      </c>
      <c r="L19" s="25">
        <f t="shared" si="19"/>
        <v>392.95200000000006</v>
      </c>
      <c r="M19" s="25">
        <f t="shared" si="19"/>
        <v>390.096</v>
      </c>
      <c r="N19" s="25">
        <f t="shared" si="19"/>
        <v>400.93200000000007</v>
      </c>
      <c r="O19" s="25">
        <f t="shared" si="19"/>
        <v>306.76800000000003</v>
      </c>
      <c r="P19" s="25">
        <f t="shared" si="19"/>
        <v>359.52000000000004</v>
      </c>
      <c r="Q19" s="39">
        <v>7.0000000000000007E-2</v>
      </c>
      <c r="R19" s="25">
        <f>$C$19*12*R38</f>
        <v>521.22</v>
      </c>
      <c r="S19" s="30" t="s">
        <v>39</v>
      </c>
      <c r="T19" s="39" t="s">
        <v>54</v>
      </c>
      <c r="U19" s="39">
        <v>0.08</v>
      </c>
      <c r="V19" s="25">
        <f>$U$19*12*V38</f>
        <v>394.56</v>
      </c>
      <c r="W19" s="25">
        <f t="shared" ref="W19:AH19" si="20">$U$19*12*W38</f>
        <v>269.66399999999999</v>
      </c>
      <c r="X19" s="25">
        <f t="shared" si="20"/>
        <v>386.4</v>
      </c>
      <c r="Y19" s="25">
        <f t="shared" si="20"/>
        <v>393.59999999999997</v>
      </c>
      <c r="Z19" s="25">
        <f t="shared" si="20"/>
        <v>399.84</v>
      </c>
      <c r="AA19" s="25">
        <f t="shared" si="20"/>
        <v>524.06399999999996</v>
      </c>
      <c r="AB19" s="25">
        <f t="shared" si="20"/>
        <v>529.24799999999993</v>
      </c>
      <c r="AC19" s="25">
        <f t="shared" si="20"/>
        <v>367.58399999999995</v>
      </c>
      <c r="AD19" s="25">
        <f t="shared" si="20"/>
        <v>556.41600000000005</v>
      </c>
      <c r="AE19" s="25">
        <f t="shared" si="20"/>
        <v>398.59199999999998</v>
      </c>
      <c r="AF19" s="25">
        <f t="shared" si="20"/>
        <v>405.79199999999997</v>
      </c>
      <c r="AG19" s="25">
        <f t="shared" si="20"/>
        <v>321.40800000000002</v>
      </c>
      <c r="AH19" s="25">
        <f t="shared" si="20"/>
        <v>535.10399999999993</v>
      </c>
      <c r="AI19" s="39">
        <v>0.08</v>
      </c>
      <c r="AJ19" s="25">
        <f>$U$19*12*AJ38</f>
        <v>725.952</v>
      </c>
      <c r="AK19" s="30" t="s">
        <v>39</v>
      </c>
      <c r="AL19" s="39" t="s">
        <v>44</v>
      </c>
      <c r="AM19" s="39">
        <v>7.0000000000000007E-2</v>
      </c>
      <c r="AN19" s="25">
        <f>$AM$19*12*AN38</f>
        <v>504.75600000000003</v>
      </c>
      <c r="AO19" s="30" t="s">
        <v>39</v>
      </c>
      <c r="AP19" s="39" t="s">
        <v>54</v>
      </c>
      <c r="AQ19" s="39">
        <v>0.08</v>
      </c>
      <c r="AR19" s="25">
        <f>$AQ$19*12*AR38</f>
        <v>493.91999999999996</v>
      </c>
    </row>
    <row r="20" spans="1:44" s="26" customFormat="1" x14ac:dyDescent="0.2">
      <c r="A20" s="30" t="s">
        <v>40</v>
      </c>
      <c r="B20" s="38" t="s">
        <v>45</v>
      </c>
      <c r="C20" s="39">
        <v>2.4900000000000002</v>
      </c>
      <c r="D20" s="25">
        <f t="shared" ref="D20:P20" si="21">$C$20*12*D38</f>
        <v>12101.400000000001</v>
      </c>
      <c r="E20" s="25">
        <f t="shared" si="21"/>
        <v>12600.396000000001</v>
      </c>
      <c r="F20" s="25">
        <f t="shared" si="21"/>
        <v>21594.276000000002</v>
      </c>
      <c r="G20" s="25">
        <f t="shared" si="21"/>
        <v>15486.804</v>
      </c>
      <c r="H20" s="25">
        <f t="shared" si="21"/>
        <v>21585.312000000002</v>
      </c>
      <c r="I20" s="25">
        <f t="shared" si="21"/>
        <v>8868.3840000000018</v>
      </c>
      <c r="J20" s="25">
        <f t="shared" si="21"/>
        <v>12200.004000000001</v>
      </c>
      <c r="K20" s="25">
        <f t="shared" si="21"/>
        <v>9863.3880000000008</v>
      </c>
      <c r="L20" s="25">
        <f t="shared" si="21"/>
        <v>13977.864000000001</v>
      </c>
      <c r="M20" s="25">
        <f t="shared" si="21"/>
        <v>13876.272000000001</v>
      </c>
      <c r="N20" s="25">
        <f t="shared" si="21"/>
        <v>14261.724000000002</v>
      </c>
      <c r="O20" s="25">
        <f t="shared" si="21"/>
        <v>10912.176000000001</v>
      </c>
      <c r="P20" s="25">
        <f t="shared" si="21"/>
        <v>12788.640000000001</v>
      </c>
      <c r="Q20" s="39">
        <v>2.4900000000000002</v>
      </c>
      <c r="R20" s="25">
        <f>$C$20*12*R38</f>
        <v>18540.54</v>
      </c>
      <c r="S20" s="67" t="s">
        <v>40</v>
      </c>
      <c r="T20" s="38" t="s">
        <v>55</v>
      </c>
      <c r="U20" s="39">
        <v>2.4900000000000002</v>
      </c>
      <c r="V20" s="25">
        <f>$U$20*12*V38</f>
        <v>12280.68</v>
      </c>
      <c r="W20" s="25">
        <f t="shared" ref="W20:AH20" si="22">$U$20*12*W38</f>
        <v>8393.2919999999995</v>
      </c>
      <c r="X20" s="25">
        <f t="shared" si="22"/>
        <v>12026.7</v>
      </c>
      <c r="Y20" s="25">
        <f t="shared" si="22"/>
        <v>12250.800000000001</v>
      </c>
      <c r="Z20" s="25">
        <f t="shared" si="22"/>
        <v>12445.02</v>
      </c>
      <c r="AA20" s="25">
        <f t="shared" si="22"/>
        <v>16311.492</v>
      </c>
      <c r="AB20" s="25">
        <f t="shared" si="22"/>
        <v>16472.844000000001</v>
      </c>
      <c r="AC20" s="25">
        <f t="shared" si="22"/>
        <v>11441.052</v>
      </c>
      <c r="AD20" s="25">
        <f t="shared" si="22"/>
        <v>17318.448000000004</v>
      </c>
      <c r="AE20" s="25">
        <f t="shared" si="22"/>
        <v>12406.176000000001</v>
      </c>
      <c r="AF20" s="25">
        <f t="shared" si="22"/>
        <v>12630.276</v>
      </c>
      <c r="AG20" s="25">
        <f t="shared" si="22"/>
        <v>10003.824000000001</v>
      </c>
      <c r="AH20" s="25">
        <f t="shared" si="22"/>
        <v>16655.112000000001</v>
      </c>
      <c r="AI20" s="39">
        <v>2.4900000000000002</v>
      </c>
      <c r="AJ20" s="25">
        <f>$U$20*12*AJ38</f>
        <v>22595.256000000005</v>
      </c>
      <c r="AK20" s="67" t="s">
        <v>40</v>
      </c>
      <c r="AL20" s="38" t="s">
        <v>45</v>
      </c>
      <c r="AM20" s="39">
        <v>2.4900000000000002</v>
      </c>
      <c r="AN20" s="25">
        <f>$AM$20*12*AN38</f>
        <v>17954.892</v>
      </c>
      <c r="AO20" s="67" t="s">
        <v>40</v>
      </c>
      <c r="AP20" s="38" t="s">
        <v>55</v>
      </c>
      <c r="AQ20" s="39">
        <v>2.4900000000000002</v>
      </c>
      <c r="AR20" s="25">
        <f>$AQ$20*12*AR38</f>
        <v>15373.260000000002</v>
      </c>
    </row>
    <row r="21" spans="1:44" s="26" customFormat="1" ht="27.75" customHeight="1" x14ac:dyDescent="0.2">
      <c r="A21" s="30" t="s">
        <v>68</v>
      </c>
      <c r="B21" s="38" t="s">
        <v>69</v>
      </c>
      <c r="C21" s="39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39">
        <v>0.47</v>
      </c>
      <c r="R21" s="25">
        <f>Q21*12*R38</f>
        <v>3499.62</v>
      </c>
      <c r="S21" s="30" t="s">
        <v>68</v>
      </c>
      <c r="T21" s="38" t="s">
        <v>69</v>
      </c>
      <c r="U21" s="39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39">
        <v>0.47</v>
      </c>
      <c r="AJ21" s="25">
        <f>AI21*12*AJ38</f>
        <v>4264.9679999999998</v>
      </c>
      <c r="AK21" s="30" t="s">
        <v>68</v>
      </c>
      <c r="AL21" s="38" t="s">
        <v>69</v>
      </c>
      <c r="AM21" s="39"/>
      <c r="AN21" s="25"/>
      <c r="AO21" s="30" t="s">
        <v>68</v>
      </c>
      <c r="AP21" s="38" t="s">
        <v>69</v>
      </c>
      <c r="AQ21" s="39"/>
      <c r="AR21" s="25"/>
    </row>
    <row r="22" spans="1:44" s="26" customFormat="1" ht="12.75" customHeight="1" x14ac:dyDescent="0.2">
      <c r="A22" s="33"/>
      <c r="B22" s="38"/>
      <c r="C22" s="39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39"/>
      <c r="R22" s="25"/>
      <c r="S22" s="70"/>
      <c r="T22" s="39"/>
      <c r="U22" s="39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39"/>
      <c r="AJ22" s="25"/>
      <c r="AK22" s="70"/>
      <c r="AL22" s="39"/>
      <c r="AM22" s="39"/>
      <c r="AN22" s="25"/>
      <c r="AO22" s="70"/>
      <c r="AP22" s="39"/>
      <c r="AQ22" s="39"/>
      <c r="AR22" s="25"/>
    </row>
    <row r="23" spans="1:44" s="26" customFormat="1" ht="12.75" customHeight="1" x14ac:dyDescent="0.2">
      <c r="A23" s="33"/>
      <c r="B23" s="38"/>
      <c r="C23" s="3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39"/>
      <c r="R23" s="25"/>
      <c r="S23" s="70"/>
      <c r="T23" s="39"/>
      <c r="U23" s="39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39"/>
      <c r="AJ23" s="25"/>
      <c r="AK23" s="70"/>
      <c r="AL23" s="39"/>
      <c r="AM23" s="39"/>
      <c r="AN23" s="25"/>
      <c r="AO23" s="70"/>
      <c r="AP23" s="39"/>
      <c r="AQ23" s="39"/>
      <c r="AR23" s="25"/>
    </row>
    <row r="24" spans="1:44" s="26" customFormat="1" ht="12.75" customHeight="1" x14ac:dyDescent="0.2">
      <c r="A24" s="33"/>
      <c r="B24" s="38"/>
      <c r="C24" s="39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39"/>
      <c r="R24" s="25"/>
      <c r="S24" s="70"/>
      <c r="T24" s="39"/>
      <c r="U24" s="39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39"/>
      <c r="AJ24" s="25"/>
      <c r="AK24" s="70"/>
      <c r="AL24" s="39"/>
      <c r="AM24" s="39"/>
      <c r="AN24" s="25"/>
      <c r="AO24" s="70"/>
      <c r="AP24" s="39"/>
      <c r="AQ24" s="39"/>
      <c r="AR24" s="25"/>
    </row>
    <row r="25" spans="1:44" s="26" customFormat="1" ht="27" customHeight="1" x14ac:dyDescent="0.2">
      <c r="A25" s="31" t="s">
        <v>8</v>
      </c>
      <c r="B25" s="38"/>
      <c r="C25" s="34">
        <f>SUM(C26:C28)</f>
        <v>2.1399999999999997</v>
      </c>
      <c r="D25" s="69">
        <f>SUM(D26:D28)</f>
        <v>10400.4</v>
      </c>
      <c r="E25" s="69">
        <f t="shared" ref="E25:P25" si="23">SUM(E26:E28)</f>
        <v>10829.255999999998</v>
      </c>
      <c r="F25" s="69">
        <f t="shared" si="23"/>
        <v>18558.936000000002</v>
      </c>
      <c r="G25" s="69">
        <f t="shared" si="23"/>
        <v>13309.943999999996</v>
      </c>
      <c r="H25" s="69">
        <f t="shared" si="23"/>
        <v>18551.231999999996</v>
      </c>
      <c r="I25" s="69">
        <f t="shared" si="23"/>
        <v>7621.8240000000005</v>
      </c>
      <c r="J25" s="69">
        <f t="shared" si="23"/>
        <v>10485.144</v>
      </c>
      <c r="K25" s="69">
        <f t="shared" si="23"/>
        <v>8476.9680000000008</v>
      </c>
      <c r="L25" s="69">
        <f t="shared" si="23"/>
        <v>12013.103999999999</v>
      </c>
      <c r="M25" s="69">
        <f t="shared" si="23"/>
        <v>11925.791999999998</v>
      </c>
      <c r="N25" s="69">
        <f t="shared" si="23"/>
        <v>12257.063999999998</v>
      </c>
      <c r="O25" s="69">
        <f t="shared" si="23"/>
        <v>9378.3359999999993</v>
      </c>
      <c r="P25" s="69">
        <f t="shared" si="23"/>
        <v>10991.039999999999</v>
      </c>
      <c r="Q25" s="34">
        <f>SUM(Q26:Q28)</f>
        <v>2.1399999999999997</v>
      </c>
      <c r="R25" s="69">
        <f>SUM(R26:R28)</f>
        <v>15934.439999999999</v>
      </c>
      <c r="S25" s="31" t="s">
        <v>8</v>
      </c>
      <c r="T25" s="39"/>
      <c r="U25" s="34">
        <f>SUM(U26:U28)</f>
        <v>4.93</v>
      </c>
      <c r="V25" s="69">
        <f t="shared" ref="V25:AH25" si="24">SUM(V26:V28)</f>
        <v>24314.760000000002</v>
      </c>
      <c r="W25" s="69">
        <f t="shared" si="24"/>
        <v>16618.043999999998</v>
      </c>
      <c r="X25" s="69">
        <f t="shared" si="24"/>
        <v>23811.9</v>
      </c>
      <c r="Y25" s="69">
        <f t="shared" si="24"/>
        <v>24255.599999999999</v>
      </c>
      <c r="Z25" s="69">
        <f t="shared" si="24"/>
        <v>24640.14</v>
      </c>
      <c r="AA25" s="69">
        <f t="shared" si="24"/>
        <v>32295.444000000003</v>
      </c>
      <c r="AB25" s="69">
        <f t="shared" si="24"/>
        <v>32614.907999999996</v>
      </c>
      <c r="AC25" s="69">
        <f t="shared" si="24"/>
        <v>22652.363999999998</v>
      </c>
      <c r="AD25" s="69">
        <f t="shared" si="24"/>
        <v>34289.135999999999</v>
      </c>
      <c r="AE25" s="69">
        <f t="shared" si="24"/>
        <v>24563.232</v>
      </c>
      <c r="AF25" s="69">
        <f t="shared" si="24"/>
        <v>25006.932000000001</v>
      </c>
      <c r="AG25" s="69">
        <f t="shared" si="24"/>
        <v>19806.768000000004</v>
      </c>
      <c r="AH25" s="69">
        <f t="shared" si="24"/>
        <v>32975.784</v>
      </c>
      <c r="AI25" s="34">
        <f>SUM(AI26:AI28)</f>
        <v>4.93</v>
      </c>
      <c r="AJ25" s="69">
        <f>SUM(AJ26:AJ28)</f>
        <v>44736.792000000001</v>
      </c>
      <c r="AK25" s="31" t="s">
        <v>8</v>
      </c>
      <c r="AL25" s="39"/>
      <c r="AM25" s="34">
        <f>SUM(AM26:AM28)</f>
        <v>2.1399999999999997</v>
      </c>
      <c r="AN25" s="69">
        <f t="shared" ref="AN25" si="25">SUM(AN26:AN28)</f>
        <v>15431.111999999997</v>
      </c>
      <c r="AO25" s="31" t="s">
        <v>8</v>
      </c>
      <c r="AP25" s="39"/>
      <c r="AQ25" s="34">
        <f>SUM(AQ26:AQ28)</f>
        <v>3.49</v>
      </c>
      <c r="AR25" s="69">
        <f>SUM(AR26:AR28)</f>
        <v>21547.260000000002</v>
      </c>
    </row>
    <row r="26" spans="1:44" s="26" customFormat="1" ht="36" customHeight="1" x14ac:dyDescent="0.2">
      <c r="A26" s="30" t="s">
        <v>70</v>
      </c>
      <c r="B26" s="38" t="s">
        <v>3</v>
      </c>
      <c r="C26" s="39">
        <v>1.1299999999999999</v>
      </c>
      <c r="D26" s="25">
        <f t="shared" ref="D26:P26" si="26">$C$26*12*D38</f>
        <v>5491.7999999999993</v>
      </c>
      <c r="E26" s="25">
        <f t="shared" si="26"/>
        <v>5718.2519999999995</v>
      </c>
      <c r="F26" s="25">
        <f t="shared" si="26"/>
        <v>9799.8119999999999</v>
      </c>
      <c r="G26" s="25">
        <f t="shared" si="26"/>
        <v>7028.1479999999983</v>
      </c>
      <c r="H26" s="25">
        <f t="shared" si="26"/>
        <v>9795.7439999999988</v>
      </c>
      <c r="I26" s="25">
        <f t="shared" si="26"/>
        <v>4024.6079999999997</v>
      </c>
      <c r="J26" s="25">
        <f t="shared" si="26"/>
        <v>5536.5479999999998</v>
      </c>
      <c r="K26" s="25">
        <f t="shared" si="26"/>
        <v>4476.1559999999999</v>
      </c>
      <c r="L26" s="25">
        <f t="shared" si="26"/>
        <v>6343.3679999999995</v>
      </c>
      <c r="M26" s="25">
        <f t="shared" si="26"/>
        <v>6297.2639999999992</v>
      </c>
      <c r="N26" s="25">
        <f t="shared" si="26"/>
        <v>6472.1879999999992</v>
      </c>
      <c r="O26" s="25">
        <f t="shared" si="26"/>
        <v>4952.1119999999992</v>
      </c>
      <c r="P26" s="25">
        <f t="shared" si="26"/>
        <v>5803.6799999999994</v>
      </c>
      <c r="Q26" s="39">
        <v>1.1299999999999999</v>
      </c>
      <c r="R26" s="25">
        <f>$C$26*12*R38</f>
        <v>8413.98</v>
      </c>
      <c r="S26" s="30" t="s">
        <v>70</v>
      </c>
      <c r="T26" s="39" t="s">
        <v>3</v>
      </c>
      <c r="U26" s="39">
        <v>1.1100000000000001</v>
      </c>
      <c r="V26" s="25">
        <f>$U$26*12*V38</f>
        <v>5474.52</v>
      </c>
      <c r="W26" s="25">
        <f t="shared" ref="W26:AH26" si="27">$U$26*12*W38</f>
        <v>3741.5879999999997</v>
      </c>
      <c r="X26" s="25">
        <f t="shared" si="27"/>
        <v>5361.3</v>
      </c>
      <c r="Y26" s="25">
        <f t="shared" si="27"/>
        <v>5461.2</v>
      </c>
      <c r="Z26" s="25">
        <f t="shared" si="27"/>
        <v>5547.78</v>
      </c>
      <c r="AA26" s="25">
        <f t="shared" si="27"/>
        <v>7271.3879999999999</v>
      </c>
      <c r="AB26" s="25">
        <f t="shared" si="27"/>
        <v>7343.3159999999998</v>
      </c>
      <c r="AC26" s="25">
        <f t="shared" si="27"/>
        <v>5100.2280000000001</v>
      </c>
      <c r="AD26" s="25">
        <f t="shared" si="27"/>
        <v>7720.2720000000008</v>
      </c>
      <c r="AE26" s="25">
        <f t="shared" si="27"/>
        <v>5530.4639999999999</v>
      </c>
      <c r="AF26" s="25">
        <f t="shared" si="27"/>
        <v>5630.3639999999996</v>
      </c>
      <c r="AG26" s="25">
        <f t="shared" si="27"/>
        <v>4459.5360000000001</v>
      </c>
      <c r="AH26" s="25">
        <f t="shared" si="27"/>
        <v>7424.5680000000002</v>
      </c>
      <c r="AI26" s="39">
        <v>1.1100000000000001</v>
      </c>
      <c r="AJ26" s="25">
        <f>$U$26*12*AJ38</f>
        <v>10072.584000000001</v>
      </c>
      <c r="AK26" s="30" t="s">
        <v>70</v>
      </c>
      <c r="AL26" s="39" t="s">
        <v>3</v>
      </c>
      <c r="AM26" s="39">
        <v>1.1299999999999999</v>
      </c>
      <c r="AN26" s="25">
        <f>$AM$26*12*AN38</f>
        <v>8148.2039999999988</v>
      </c>
      <c r="AO26" s="30" t="s">
        <v>70</v>
      </c>
      <c r="AP26" s="39" t="s">
        <v>3</v>
      </c>
      <c r="AQ26" s="39">
        <v>1.1100000000000001</v>
      </c>
      <c r="AR26" s="25">
        <f>$AQ$26*12*AR38</f>
        <v>6853.14</v>
      </c>
    </row>
    <row r="27" spans="1:44" s="26" customFormat="1" ht="71.25" customHeight="1" x14ac:dyDescent="0.2">
      <c r="A27" s="30" t="s">
        <v>71</v>
      </c>
      <c r="B27" s="38" t="s">
        <v>7</v>
      </c>
      <c r="C27" s="39">
        <v>0.16</v>
      </c>
      <c r="D27" s="25">
        <f t="shared" ref="D27:P27" si="28">$C$27*12*D38</f>
        <v>777.6</v>
      </c>
      <c r="E27" s="25">
        <f t="shared" si="28"/>
        <v>809.66399999999999</v>
      </c>
      <c r="F27" s="25">
        <f t="shared" si="28"/>
        <v>1387.5840000000001</v>
      </c>
      <c r="G27" s="25">
        <f t="shared" si="28"/>
        <v>995.13599999999985</v>
      </c>
      <c r="H27" s="25">
        <f t="shared" si="28"/>
        <v>1387.0079999999998</v>
      </c>
      <c r="I27" s="25">
        <f t="shared" si="28"/>
        <v>569.85599999999999</v>
      </c>
      <c r="J27" s="25">
        <f t="shared" si="28"/>
        <v>783.93600000000004</v>
      </c>
      <c r="K27" s="25">
        <f t="shared" si="28"/>
        <v>633.79200000000003</v>
      </c>
      <c r="L27" s="25">
        <f t="shared" si="28"/>
        <v>898.17600000000004</v>
      </c>
      <c r="M27" s="25">
        <f t="shared" si="28"/>
        <v>891.64799999999991</v>
      </c>
      <c r="N27" s="25">
        <f t="shared" si="28"/>
        <v>916.41599999999994</v>
      </c>
      <c r="O27" s="25">
        <f t="shared" si="28"/>
        <v>701.18399999999997</v>
      </c>
      <c r="P27" s="25">
        <f t="shared" si="28"/>
        <v>821.76</v>
      </c>
      <c r="Q27" s="39">
        <v>0.16</v>
      </c>
      <c r="R27" s="25">
        <f>$C$27*12*R38</f>
        <v>1191.3599999999999</v>
      </c>
      <c r="S27" s="30" t="s">
        <v>71</v>
      </c>
      <c r="T27" s="38" t="s">
        <v>7</v>
      </c>
      <c r="U27" s="39">
        <v>0.13</v>
      </c>
      <c r="V27" s="25">
        <f>$U$27*12*V38</f>
        <v>641.16</v>
      </c>
      <c r="W27" s="25">
        <f t="shared" ref="W27:AH27" si="29">$U$27*12*W38</f>
        <v>438.20400000000001</v>
      </c>
      <c r="X27" s="25">
        <f t="shared" si="29"/>
        <v>627.9</v>
      </c>
      <c r="Y27" s="25">
        <f t="shared" si="29"/>
        <v>639.6</v>
      </c>
      <c r="Z27" s="25">
        <f t="shared" si="29"/>
        <v>649.74</v>
      </c>
      <c r="AA27" s="25">
        <f t="shared" si="29"/>
        <v>851.60400000000004</v>
      </c>
      <c r="AB27" s="25">
        <f t="shared" si="29"/>
        <v>860.02799999999991</v>
      </c>
      <c r="AC27" s="25">
        <f t="shared" si="29"/>
        <v>597.32399999999996</v>
      </c>
      <c r="AD27" s="25">
        <f t="shared" si="29"/>
        <v>904.17600000000004</v>
      </c>
      <c r="AE27" s="25">
        <f t="shared" si="29"/>
        <v>647.71199999999999</v>
      </c>
      <c r="AF27" s="25">
        <f t="shared" si="29"/>
        <v>659.41200000000003</v>
      </c>
      <c r="AG27" s="25">
        <f t="shared" si="29"/>
        <v>522.28800000000001</v>
      </c>
      <c r="AH27" s="25">
        <f t="shared" si="29"/>
        <v>869.54399999999998</v>
      </c>
      <c r="AI27" s="39">
        <v>0.13</v>
      </c>
      <c r="AJ27" s="25">
        <f>$U$27*12*AJ38</f>
        <v>1179.672</v>
      </c>
      <c r="AK27" s="30" t="s">
        <v>71</v>
      </c>
      <c r="AL27" s="38" t="s">
        <v>7</v>
      </c>
      <c r="AM27" s="39">
        <v>0.16</v>
      </c>
      <c r="AN27" s="25">
        <f>$AM$27*12*AN38</f>
        <v>1153.7279999999998</v>
      </c>
      <c r="AO27" s="30" t="s">
        <v>71</v>
      </c>
      <c r="AP27" s="38" t="s">
        <v>7</v>
      </c>
      <c r="AQ27" s="39">
        <v>0.13</v>
      </c>
      <c r="AR27" s="25">
        <f>$AQ$27*12*AR38</f>
        <v>802.62</v>
      </c>
    </row>
    <row r="28" spans="1:44" s="26" customFormat="1" ht="112.5" customHeight="1" x14ac:dyDescent="0.2">
      <c r="A28" s="30" t="s">
        <v>72</v>
      </c>
      <c r="B28" s="38" t="s">
        <v>6</v>
      </c>
      <c r="C28" s="39">
        <v>0.85</v>
      </c>
      <c r="D28" s="25">
        <f t="shared" ref="D28:P28" si="30">$C$28*12*D38</f>
        <v>4131</v>
      </c>
      <c r="E28" s="25">
        <f t="shared" si="30"/>
        <v>4301.3399999999992</v>
      </c>
      <c r="F28" s="25">
        <f t="shared" si="30"/>
        <v>7371.54</v>
      </c>
      <c r="G28" s="25">
        <f t="shared" si="30"/>
        <v>5286.6599999999989</v>
      </c>
      <c r="H28" s="25">
        <f t="shared" si="30"/>
        <v>7368.48</v>
      </c>
      <c r="I28" s="25">
        <f t="shared" si="30"/>
        <v>3027.36</v>
      </c>
      <c r="J28" s="25">
        <f t="shared" si="30"/>
        <v>4164.66</v>
      </c>
      <c r="K28" s="25">
        <f t="shared" si="30"/>
        <v>3367.02</v>
      </c>
      <c r="L28" s="25">
        <f t="shared" si="30"/>
        <v>4771.5599999999995</v>
      </c>
      <c r="M28" s="25">
        <f t="shared" si="30"/>
        <v>4736.8799999999992</v>
      </c>
      <c r="N28" s="25">
        <f t="shared" si="30"/>
        <v>4868.46</v>
      </c>
      <c r="O28" s="25">
        <f t="shared" si="30"/>
        <v>3725.0399999999995</v>
      </c>
      <c r="P28" s="25">
        <f t="shared" si="30"/>
        <v>4365.5999999999995</v>
      </c>
      <c r="Q28" s="39">
        <v>0.85</v>
      </c>
      <c r="R28" s="25">
        <f>$C$28*12*R38</f>
        <v>6329.0999999999995</v>
      </c>
      <c r="S28" s="30" t="s">
        <v>78</v>
      </c>
      <c r="T28" s="39" t="s">
        <v>6</v>
      </c>
      <c r="U28" s="39">
        <v>3.69</v>
      </c>
      <c r="V28" s="25">
        <f>$U$28*12*V38</f>
        <v>18199.080000000002</v>
      </c>
      <c r="W28" s="25">
        <f t="shared" ref="W28:AH28" si="31">$U$28*12*W38</f>
        <v>12438.251999999999</v>
      </c>
      <c r="X28" s="25">
        <f t="shared" si="31"/>
        <v>17822.7</v>
      </c>
      <c r="Y28" s="25">
        <f t="shared" si="31"/>
        <v>18154.8</v>
      </c>
      <c r="Z28" s="25">
        <f t="shared" si="31"/>
        <v>18442.62</v>
      </c>
      <c r="AA28" s="25">
        <f t="shared" si="31"/>
        <v>24172.452000000001</v>
      </c>
      <c r="AB28" s="25">
        <f t="shared" si="31"/>
        <v>24411.563999999998</v>
      </c>
      <c r="AC28" s="25">
        <f t="shared" si="31"/>
        <v>16954.811999999998</v>
      </c>
      <c r="AD28" s="25">
        <f t="shared" si="31"/>
        <v>25664.688000000002</v>
      </c>
      <c r="AE28" s="25">
        <f t="shared" si="31"/>
        <v>18385.056</v>
      </c>
      <c r="AF28" s="25">
        <f t="shared" si="31"/>
        <v>18717.155999999999</v>
      </c>
      <c r="AG28" s="25">
        <f t="shared" si="31"/>
        <v>14824.944000000001</v>
      </c>
      <c r="AH28" s="25">
        <f t="shared" si="31"/>
        <v>24681.671999999999</v>
      </c>
      <c r="AI28" s="39">
        <v>3.69</v>
      </c>
      <c r="AJ28" s="25">
        <f>$U$28*12*AJ38</f>
        <v>33484.536</v>
      </c>
      <c r="AK28" s="30" t="s">
        <v>72</v>
      </c>
      <c r="AL28" s="39" t="s">
        <v>6</v>
      </c>
      <c r="AM28" s="39">
        <v>0.85</v>
      </c>
      <c r="AN28" s="25">
        <f>$AM$28*12*AN38</f>
        <v>6129.1799999999994</v>
      </c>
      <c r="AO28" s="30" t="s">
        <v>78</v>
      </c>
      <c r="AP28" s="39" t="s">
        <v>6</v>
      </c>
      <c r="AQ28" s="39">
        <v>2.25</v>
      </c>
      <c r="AR28" s="25">
        <f>$AQ$28*12*AR38</f>
        <v>13891.5</v>
      </c>
    </row>
    <row r="29" spans="1:44" s="26" customFormat="1" ht="24.75" customHeight="1" x14ac:dyDescent="0.2">
      <c r="A29" s="31" t="s">
        <v>5</v>
      </c>
      <c r="B29" s="38"/>
      <c r="C29" s="71">
        <f>SUM(C30:C34)</f>
        <v>10.93</v>
      </c>
      <c r="D29" s="72">
        <f>SUM(D30:D34)</f>
        <v>53119.8</v>
      </c>
      <c r="E29" s="72">
        <f t="shared" ref="E29:P29" si="32">SUM(E30:E34)</f>
        <v>55310.171999999991</v>
      </c>
      <c r="F29" s="72">
        <f t="shared" si="32"/>
        <v>94789.331999999995</v>
      </c>
      <c r="G29" s="72">
        <f t="shared" si="32"/>
        <v>67980.227999999988</v>
      </c>
      <c r="H29" s="72">
        <f t="shared" si="32"/>
        <v>94749.983999999982</v>
      </c>
      <c r="I29" s="72">
        <f t="shared" si="32"/>
        <v>38928.288</v>
      </c>
      <c r="J29" s="72">
        <f t="shared" si="32"/>
        <v>53552.627999999997</v>
      </c>
      <c r="K29" s="72">
        <f t="shared" si="32"/>
        <v>43295.916000000005</v>
      </c>
      <c r="L29" s="72">
        <f t="shared" si="32"/>
        <v>61356.647999999986</v>
      </c>
      <c r="M29" s="72">
        <f t="shared" si="32"/>
        <v>60910.703999999991</v>
      </c>
      <c r="N29" s="72">
        <f t="shared" si="32"/>
        <v>62602.667999999998</v>
      </c>
      <c r="O29" s="72">
        <f t="shared" si="32"/>
        <v>47899.631999999998</v>
      </c>
      <c r="P29" s="72">
        <f t="shared" si="32"/>
        <v>56136.479999999989</v>
      </c>
      <c r="Q29" s="71">
        <f>SUM(Q30:Q34)</f>
        <v>10.93</v>
      </c>
      <c r="R29" s="73">
        <f>SUM(R30:R34)</f>
        <v>81384.78</v>
      </c>
      <c r="S29" s="74" t="s">
        <v>5</v>
      </c>
      <c r="T29" s="39"/>
      <c r="U29" s="71">
        <f>SUM(U30:U34)</f>
        <v>6.4999999999999991</v>
      </c>
      <c r="V29" s="72">
        <f t="shared" ref="V29:AH29" si="33">SUM(V30:V34)</f>
        <v>32058.000000000004</v>
      </c>
      <c r="W29" s="72">
        <f t="shared" si="33"/>
        <v>21910.2</v>
      </c>
      <c r="X29" s="72">
        <f t="shared" si="33"/>
        <v>31395.000000000004</v>
      </c>
      <c r="Y29" s="72">
        <f t="shared" si="33"/>
        <v>31980.000000000004</v>
      </c>
      <c r="Z29" s="72">
        <f t="shared" si="33"/>
        <v>32487.000000000004</v>
      </c>
      <c r="AA29" s="72">
        <f t="shared" si="33"/>
        <v>42580.2</v>
      </c>
      <c r="AB29" s="72">
        <f t="shared" si="33"/>
        <v>43001.4</v>
      </c>
      <c r="AC29" s="72">
        <f t="shared" si="33"/>
        <v>29866.199999999997</v>
      </c>
      <c r="AD29" s="72">
        <f t="shared" si="33"/>
        <v>45208.80000000001</v>
      </c>
      <c r="AE29" s="72">
        <f t="shared" si="33"/>
        <v>32385.599999999999</v>
      </c>
      <c r="AF29" s="72">
        <f t="shared" si="33"/>
        <v>32970.6</v>
      </c>
      <c r="AG29" s="72">
        <f t="shared" si="33"/>
        <v>26114.400000000005</v>
      </c>
      <c r="AH29" s="72">
        <f t="shared" si="33"/>
        <v>43477.200000000004</v>
      </c>
      <c r="AI29" s="71">
        <f>SUM(AI30:AI34)</f>
        <v>6.4999999999999991</v>
      </c>
      <c r="AJ29" s="72">
        <f>SUM(AJ30:AJ34)</f>
        <v>58983.600000000006</v>
      </c>
      <c r="AK29" s="74" t="s">
        <v>5</v>
      </c>
      <c r="AL29" s="39"/>
      <c r="AM29" s="71">
        <f>SUM(AM30:AM34)</f>
        <v>7.24</v>
      </c>
      <c r="AN29" s="72">
        <f t="shared" ref="AN29" si="34">SUM(AN30:AN34)</f>
        <v>52206.191999999995</v>
      </c>
      <c r="AO29" s="74" t="s">
        <v>5</v>
      </c>
      <c r="AP29" s="39"/>
      <c r="AQ29" s="71">
        <f>SUM(AQ30:AQ34)</f>
        <v>4.62</v>
      </c>
      <c r="AR29" s="72">
        <f>SUM(AR30:AR34)</f>
        <v>28523.88</v>
      </c>
    </row>
    <row r="30" spans="1:44" s="26" customFormat="1" ht="165" customHeight="1" x14ac:dyDescent="0.2">
      <c r="A30" s="30" t="s">
        <v>73</v>
      </c>
      <c r="B30" s="38" t="s">
        <v>23</v>
      </c>
      <c r="C30" s="39">
        <v>6.6</v>
      </c>
      <c r="D30" s="25">
        <f t="shared" ref="D30:P30" si="35">$C$30*12*D38</f>
        <v>32075.999999999996</v>
      </c>
      <c r="E30" s="25">
        <f t="shared" si="35"/>
        <v>33398.639999999992</v>
      </c>
      <c r="F30" s="25">
        <f t="shared" si="35"/>
        <v>57237.84</v>
      </c>
      <c r="G30" s="25">
        <f t="shared" si="35"/>
        <v>41049.359999999993</v>
      </c>
      <c r="H30" s="25">
        <f t="shared" si="35"/>
        <v>57214.079999999987</v>
      </c>
      <c r="I30" s="25">
        <f t="shared" si="35"/>
        <v>23506.559999999998</v>
      </c>
      <c r="J30" s="25">
        <f t="shared" si="35"/>
        <v>32337.359999999997</v>
      </c>
      <c r="K30" s="25">
        <f t="shared" si="35"/>
        <v>26143.919999999998</v>
      </c>
      <c r="L30" s="25">
        <f t="shared" si="35"/>
        <v>37049.759999999995</v>
      </c>
      <c r="M30" s="25">
        <f t="shared" si="35"/>
        <v>36780.479999999996</v>
      </c>
      <c r="N30" s="25">
        <f t="shared" si="35"/>
        <v>37802.159999999996</v>
      </c>
      <c r="O30" s="25">
        <f t="shared" si="35"/>
        <v>28923.839999999997</v>
      </c>
      <c r="P30" s="25">
        <f t="shared" si="35"/>
        <v>33897.599999999999</v>
      </c>
      <c r="Q30" s="39">
        <v>6.6</v>
      </c>
      <c r="R30" s="25">
        <f>$C$30*12*R38</f>
        <v>49143.599999999991</v>
      </c>
      <c r="S30" s="30" t="s">
        <v>79</v>
      </c>
      <c r="T30" s="38" t="s">
        <v>56</v>
      </c>
      <c r="U30" s="39">
        <f>2.52</f>
        <v>2.52</v>
      </c>
      <c r="V30" s="25">
        <f>$U$30*12*V38</f>
        <v>12428.640000000001</v>
      </c>
      <c r="W30" s="25">
        <f t="shared" ref="W30:AH30" si="36">$U$30*12*W38</f>
        <v>8494.4159999999993</v>
      </c>
      <c r="X30" s="25">
        <f t="shared" si="36"/>
        <v>12171.6</v>
      </c>
      <c r="Y30" s="25">
        <f t="shared" si="36"/>
        <v>12398.400000000001</v>
      </c>
      <c r="Z30" s="25">
        <f t="shared" si="36"/>
        <v>12594.960000000001</v>
      </c>
      <c r="AA30" s="25">
        <f t="shared" si="36"/>
        <v>16508.016</v>
      </c>
      <c r="AB30" s="25">
        <f t="shared" si="36"/>
        <v>16671.311999999998</v>
      </c>
      <c r="AC30" s="25">
        <f t="shared" si="36"/>
        <v>11578.896000000001</v>
      </c>
      <c r="AD30" s="25">
        <f t="shared" si="36"/>
        <v>17527.104000000003</v>
      </c>
      <c r="AE30" s="25">
        <f t="shared" si="36"/>
        <v>12555.648000000001</v>
      </c>
      <c r="AF30" s="25">
        <f t="shared" si="36"/>
        <v>12782.448</v>
      </c>
      <c r="AG30" s="25">
        <f t="shared" si="36"/>
        <v>10124.352000000001</v>
      </c>
      <c r="AH30" s="25">
        <f t="shared" si="36"/>
        <v>16855.776000000002</v>
      </c>
      <c r="AI30" s="39">
        <f>2.52</f>
        <v>2.52</v>
      </c>
      <c r="AJ30" s="25">
        <f>$U$30*12*AJ38</f>
        <v>22867.488000000001</v>
      </c>
      <c r="AK30" s="30" t="s">
        <v>73</v>
      </c>
      <c r="AL30" s="38" t="s">
        <v>23</v>
      </c>
      <c r="AM30" s="39">
        <v>4.5999999999999996</v>
      </c>
      <c r="AN30" s="25">
        <f>$AM$30*12*AN38</f>
        <v>33169.679999999993</v>
      </c>
      <c r="AO30" s="30" t="s">
        <v>79</v>
      </c>
      <c r="AP30" s="38" t="s">
        <v>56</v>
      </c>
      <c r="AQ30" s="39">
        <f>1.87</f>
        <v>1.87</v>
      </c>
      <c r="AR30" s="25">
        <f>$AQ$30*12*AR38</f>
        <v>11545.380000000001</v>
      </c>
    </row>
    <row r="31" spans="1:44" s="26" customFormat="1" ht="63.75" customHeight="1" x14ac:dyDescent="0.2">
      <c r="A31" s="30" t="s">
        <v>74</v>
      </c>
      <c r="B31" s="38" t="s">
        <v>4</v>
      </c>
      <c r="C31" s="39">
        <v>1.37</v>
      </c>
      <c r="D31" s="25">
        <f t="shared" ref="D31:P31" si="37">$C$31*12*D38</f>
        <v>6658.2000000000007</v>
      </c>
      <c r="E31" s="25">
        <f t="shared" si="37"/>
        <v>6932.7480000000005</v>
      </c>
      <c r="F31" s="25">
        <f t="shared" si="37"/>
        <v>11881.188000000002</v>
      </c>
      <c r="G31" s="25">
        <f t="shared" si="37"/>
        <v>8520.8520000000008</v>
      </c>
      <c r="H31" s="25">
        <f t="shared" si="37"/>
        <v>11876.256000000001</v>
      </c>
      <c r="I31" s="25">
        <f t="shared" si="37"/>
        <v>4879.3920000000007</v>
      </c>
      <c r="J31" s="25">
        <f t="shared" si="37"/>
        <v>6712.4520000000011</v>
      </c>
      <c r="K31" s="25">
        <f t="shared" si="37"/>
        <v>5426.844000000001</v>
      </c>
      <c r="L31" s="25">
        <f t="shared" si="37"/>
        <v>7690.6320000000005</v>
      </c>
      <c r="M31" s="25">
        <f t="shared" si="37"/>
        <v>7634.7359999999999</v>
      </c>
      <c r="N31" s="25">
        <f t="shared" si="37"/>
        <v>7846.8120000000008</v>
      </c>
      <c r="O31" s="25">
        <f t="shared" si="37"/>
        <v>6003.8879999999999</v>
      </c>
      <c r="P31" s="25">
        <f t="shared" si="37"/>
        <v>7036.3200000000006</v>
      </c>
      <c r="Q31" s="39">
        <v>1.37</v>
      </c>
      <c r="R31" s="25">
        <f>$C$31*12*R38</f>
        <v>10201.02</v>
      </c>
      <c r="S31" s="67" t="s">
        <v>74</v>
      </c>
      <c r="T31" s="38" t="s">
        <v>57</v>
      </c>
      <c r="U31" s="39">
        <v>1.34</v>
      </c>
      <c r="V31" s="25">
        <f>$U$31*12*V38</f>
        <v>6608.880000000001</v>
      </c>
      <c r="W31" s="25">
        <f t="shared" ref="W31:AH31" si="38">$U$31*12*W38</f>
        <v>4516.8720000000003</v>
      </c>
      <c r="X31" s="25">
        <f t="shared" si="38"/>
        <v>6472.2000000000007</v>
      </c>
      <c r="Y31" s="25">
        <f t="shared" si="38"/>
        <v>6592.8000000000011</v>
      </c>
      <c r="Z31" s="25">
        <f t="shared" si="38"/>
        <v>6697.3200000000006</v>
      </c>
      <c r="AA31" s="25">
        <f t="shared" si="38"/>
        <v>8778.0720000000001</v>
      </c>
      <c r="AB31" s="25">
        <f t="shared" si="38"/>
        <v>8864.9040000000005</v>
      </c>
      <c r="AC31" s="25">
        <f t="shared" si="38"/>
        <v>6157.0320000000002</v>
      </c>
      <c r="AD31" s="25">
        <f t="shared" si="38"/>
        <v>9319.9680000000008</v>
      </c>
      <c r="AE31" s="25">
        <f t="shared" si="38"/>
        <v>6676.4160000000002</v>
      </c>
      <c r="AF31" s="25">
        <f t="shared" si="38"/>
        <v>6797.0160000000005</v>
      </c>
      <c r="AG31" s="25">
        <f t="shared" si="38"/>
        <v>5383.5840000000007</v>
      </c>
      <c r="AH31" s="25">
        <f t="shared" si="38"/>
        <v>8962.9920000000002</v>
      </c>
      <c r="AI31" s="39">
        <v>1.34</v>
      </c>
      <c r="AJ31" s="25">
        <f>$U$31*12*AJ38</f>
        <v>12159.696000000002</v>
      </c>
      <c r="AK31" s="67" t="s">
        <v>74</v>
      </c>
      <c r="AL31" s="38" t="s">
        <v>4</v>
      </c>
      <c r="AM31" s="39">
        <v>1.37</v>
      </c>
      <c r="AN31" s="25">
        <f>$AM$31*12*AN38</f>
        <v>9878.7960000000003</v>
      </c>
      <c r="AO31" s="67" t="s">
        <v>74</v>
      </c>
      <c r="AP31" s="38" t="s">
        <v>57</v>
      </c>
      <c r="AQ31" s="39">
        <v>1.34</v>
      </c>
      <c r="AR31" s="25">
        <f>$AQ$31*12*AR38</f>
        <v>8273.1600000000017</v>
      </c>
    </row>
    <row r="32" spans="1:44" s="26" customFormat="1" ht="78.75" customHeight="1" x14ac:dyDescent="0.2">
      <c r="A32" s="30" t="s">
        <v>75</v>
      </c>
      <c r="B32" s="38" t="s">
        <v>24</v>
      </c>
      <c r="C32" s="39">
        <v>1.69</v>
      </c>
      <c r="D32" s="25">
        <f t="shared" ref="D32:P32" si="39">$C$32*12*D38</f>
        <v>8213.4</v>
      </c>
      <c r="E32" s="25">
        <f t="shared" si="39"/>
        <v>8552.0760000000009</v>
      </c>
      <c r="F32" s="25">
        <f t="shared" si="39"/>
        <v>14656.356000000002</v>
      </c>
      <c r="G32" s="25">
        <f t="shared" si="39"/>
        <v>10511.124</v>
      </c>
      <c r="H32" s="25">
        <f t="shared" si="39"/>
        <v>14650.272000000001</v>
      </c>
      <c r="I32" s="25">
        <f t="shared" si="39"/>
        <v>6019.1040000000003</v>
      </c>
      <c r="J32" s="25">
        <f t="shared" si="39"/>
        <v>8280.3240000000005</v>
      </c>
      <c r="K32" s="25">
        <f t="shared" si="39"/>
        <v>6694.4280000000008</v>
      </c>
      <c r="L32" s="25">
        <f t="shared" si="39"/>
        <v>9486.9840000000004</v>
      </c>
      <c r="M32" s="25">
        <f t="shared" si="39"/>
        <v>9418.0319999999992</v>
      </c>
      <c r="N32" s="25">
        <f t="shared" si="39"/>
        <v>9679.6440000000002</v>
      </c>
      <c r="O32" s="25">
        <f t="shared" si="39"/>
        <v>7406.2560000000003</v>
      </c>
      <c r="P32" s="25">
        <f t="shared" si="39"/>
        <v>8679.84</v>
      </c>
      <c r="Q32" s="39">
        <v>1.69</v>
      </c>
      <c r="R32" s="25">
        <f>$C$32*12*R38</f>
        <v>12583.740000000002</v>
      </c>
      <c r="S32" s="67" t="s">
        <v>75</v>
      </c>
      <c r="T32" s="38" t="s">
        <v>24</v>
      </c>
      <c r="U32" s="39">
        <v>1.23</v>
      </c>
      <c r="V32" s="25">
        <f>$U$32*12*V38</f>
        <v>6066.36</v>
      </c>
      <c r="W32" s="25">
        <f t="shared" ref="W32:AH32" si="40">$U$32*12*W38</f>
        <v>4146.0839999999998</v>
      </c>
      <c r="X32" s="25">
        <f t="shared" si="40"/>
        <v>5940.9</v>
      </c>
      <c r="Y32" s="25">
        <f t="shared" si="40"/>
        <v>6051.6</v>
      </c>
      <c r="Z32" s="25">
        <f t="shared" si="40"/>
        <v>6147.54</v>
      </c>
      <c r="AA32" s="25">
        <f t="shared" si="40"/>
        <v>8057.4839999999995</v>
      </c>
      <c r="AB32" s="25">
        <f t="shared" si="40"/>
        <v>8137.1879999999992</v>
      </c>
      <c r="AC32" s="25">
        <f t="shared" si="40"/>
        <v>5651.6039999999994</v>
      </c>
      <c r="AD32" s="25">
        <f t="shared" si="40"/>
        <v>8554.8960000000006</v>
      </c>
      <c r="AE32" s="25">
        <f t="shared" si="40"/>
        <v>6128.3519999999999</v>
      </c>
      <c r="AF32" s="25">
        <f t="shared" si="40"/>
        <v>6239.0519999999997</v>
      </c>
      <c r="AG32" s="25">
        <f t="shared" si="40"/>
        <v>4941.6480000000001</v>
      </c>
      <c r="AH32" s="25">
        <f t="shared" si="40"/>
        <v>8227.2240000000002</v>
      </c>
      <c r="AI32" s="39">
        <v>1.23</v>
      </c>
      <c r="AJ32" s="25">
        <f>$U$32*12*AJ38</f>
        <v>11161.512000000001</v>
      </c>
      <c r="AK32" s="67" t="s">
        <v>75</v>
      </c>
      <c r="AL32" s="38" t="s">
        <v>24</v>
      </c>
      <c r="AM32" s="39">
        <v>0</v>
      </c>
      <c r="AN32" s="25">
        <f>$AM$32*12*AN38</f>
        <v>0</v>
      </c>
      <c r="AO32" s="67" t="s">
        <v>75</v>
      </c>
      <c r="AP32" s="38" t="s">
        <v>24</v>
      </c>
      <c r="AQ32" s="39">
        <v>0</v>
      </c>
      <c r="AR32" s="25">
        <f>$AQ$32*12*AR38</f>
        <v>0</v>
      </c>
    </row>
    <row r="33" spans="1:48" s="26" customFormat="1" ht="33" customHeight="1" x14ac:dyDescent="0.2">
      <c r="A33" s="30" t="s">
        <v>76</v>
      </c>
      <c r="B33" s="38" t="s">
        <v>3</v>
      </c>
      <c r="C33" s="39">
        <v>0.94</v>
      </c>
      <c r="D33" s="25">
        <f t="shared" ref="D33:P33" si="41">$C$33*12*D38</f>
        <v>4568.3999999999996</v>
      </c>
      <c r="E33" s="25">
        <f t="shared" si="41"/>
        <v>4756.7759999999998</v>
      </c>
      <c r="F33" s="25">
        <f t="shared" si="41"/>
        <v>8152.0560000000005</v>
      </c>
      <c r="G33" s="25">
        <f t="shared" si="41"/>
        <v>5846.4239999999991</v>
      </c>
      <c r="H33" s="25">
        <f t="shared" si="41"/>
        <v>8148.6719999999996</v>
      </c>
      <c r="I33" s="25">
        <f t="shared" si="41"/>
        <v>3347.904</v>
      </c>
      <c r="J33" s="25">
        <f t="shared" si="41"/>
        <v>4605.6239999999998</v>
      </c>
      <c r="K33" s="25">
        <f t="shared" si="41"/>
        <v>3723.5280000000002</v>
      </c>
      <c r="L33" s="25">
        <f t="shared" si="41"/>
        <v>5276.7839999999997</v>
      </c>
      <c r="M33" s="25">
        <f t="shared" si="41"/>
        <v>5238.4319999999998</v>
      </c>
      <c r="N33" s="25">
        <f t="shared" si="41"/>
        <v>5383.9439999999995</v>
      </c>
      <c r="O33" s="25">
        <f t="shared" si="41"/>
        <v>4119.4559999999992</v>
      </c>
      <c r="P33" s="25">
        <f t="shared" si="41"/>
        <v>4827.84</v>
      </c>
      <c r="Q33" s="39">
        <v>0.94</v>
      </c>
      <c r="R33" s="25">
        <f>$C$33*12*R38</f>
        <v>6999.24</v>
      </c>
      <c r="S33" s="67" t="s">
        <v>76</v>
      </c>
      <c r="T33" s="39" t="s">
        <v>3</v>
      </c>
      <c r="U33" s="39">
        <v>1.02</v>
      </c>
      <c r="V33" s="25">
        <f>$U$33*12*V38</f>
        <v>5030.6400000000003</v>
      </c>
      <c r="W33" s="25">
        <f t="shared" ref="W33:AH33" si="42">$U$33*12*W38</f>
        <v>3438.2159999999999</v>
      </c>
      <c r="X33" s="25">
        <f t="shared" si="42"/>
        <v>4926.6000000000004</v>
      </c>
      <c r="Y33" s="25">
        <f t="shared" si="42"/>
        <v>5018.3999999999996</v>
      </c>
      <c r="Z33" s="25">
        <f t="shared" si="42"/>
        <v>5097.96</v>
      </c>
      <c r="AA33" s="25">
        <f t="shared" si="42"/>
        <v>6681.8159999999998</v>
      </c>
      <c r="AB33" s="25">
        <f t="shared" si="42"/>
        <v>6747.9119999999994</v>
      </c>
      <c r="AC33" s="25">
        <f t="shared" si="42"/>
        <v>4686.6959999999999</v>
      </c>
      <c r="AD33" s="25">
        <f t="shared" si="42"/>
        <v>7094.3040000000001</v>
      </c>
      <c r="AE33" s="25">
        <f t="shared" si="42"/>
        <v>5082.0479999999998</v>
      </c>
      <c r="AF33" s="25">
        <f t="shared" si="42"/>
        <v>5173.848</v>
      </c>
      <c r="AG33" s="25">
        <f t="shared" si="42"/>
        <v>4097.9520000000002</v>
      </c>
      <c r="AH33" s="25">
        <f t="shared" si="42"/>
        <v>6822.576</v>
      </c>
      <c r="AI33" s="39">
        <v>1.02</v>
      </c>
      <c r="AJ33" s="25">
        <f>$U$33*12*AJ38</f>
        <v>9255.8880000000008</v>
      </c>
      <c r="AK33" s="67" t="s">
        <v>76</v>
      </c>
      <c r="AL33" s="39" t="s">
        <v>3</v>
      </c>
      <c r="AM33" s="39">
        <v>0.94</v>
      </c>
      <c r="AN33" s="25">
        <f>$AM$33*12*AN38</f>
        <v>6778.1519999999991</v>
      </c>
      <c r="AO33" s="67" t="s">
        <v>76</v>
      </c>
      <c r="AP33" s="39" t="s">
        <v>3</v>
      </c>
      <c r="AQ33" s="39">
        <v>1.02</v>
      </c>
      <c r="AR33" s="25">
        <f>$AQ$33*12*AR38</f>
        <v>6297.4800000000005</v>
      </c>
      <c r="AS33" s="83"/>
      <c r="AT33" s="83"/>
      <c r="AU33" s="83"/>
      <c r="AV33" s="83"/>
    </row>
    <row r="34" spans="1:48" s="26" customFormat="1" x14ac:dyDescent="0.2">
      <c r="A34" s="30" t="s">
        <v>77</v>
      </c>
      <c r="B34" s="38" t="s">
        <v>6</v>
      </c>
      <c r="C34" s="39">
        <v>0.33</v>
      </c>
      <c r="D34" s="25">
        <f t="shared" ref="D34:P34" si="43">$C$34*12*D38</f>
        <v>1603.8</v>
      </c>
      <c r="E34" s="25">
        <f t="shared" si="43"/>
        <v>1669.932</v>
      </c>
      <c r="F34" s="25">
        <f t="shared" si="43"/>
        <v>2861.8920000000003</v>
      </c>
      <c r="G34" s="25">
        <f t="shared" si="43"/>
        <v>2052.4679999999998</v>
      </c>
      <c r="H34" s="25">
        <f t="shared" si="43"/>
        <v>2860.7039999999997</v>
      </c>
      <c r="I34" s="25">
        <f t="shared" si="43"/>
        <v>1175.328</v>
      </c>
      <c r="J34" s="25">
        <f t="shared" si="43"/>
        <v>1616.8679999999999</v>
      </c>
      <c r="K34" s="25">
        <f t="shared" si="43"/>
        <v>1307.1960000000001</v>
      </c>
      <c r="L34" s="25">
        <f t="shared" si="43"/>
        <v>1852.4880000000001</v>
      </c>
      <c r="M34" s="25">
        <f t="shared" si="43"/>
        <v>1839.0239999999999</v>
      </c>
      <c r="N34" s="25">
        <f t="shared" si="43"/>
        <v>1890.1079999999999</v>
      </c>
      <c r="O34" s="25">
        <f t="shared" si="43"/>
        <v>1446.192</v>
      </c>
      <c r="P34" s="25">
        <f t="shared" si="43"/>
        <v>1694.8799999999999</v>
      </c>
      <c r="Q34" s="39">
        <v>0.33</v>
      </c>
      <c r="R34" s="25">
        <f>$C$34*12*R38</f>
        <v>2457.1799999999998</v>
      </c>
      <c r="S34" s="67" t="s">
        <v>77</v>
      </c>
      <c r="T34" s="39" t="s">
        <v>6</v>
      </c>
      <c r="U34" s="39">
        <v>0.39</v>
      </c>
      <c r="V34" s="25">
        <f>$U$34*12*V38</f>
        <v>1923.4799999999998</v>
      </c>
      <c r="W34" s="25">
        <f t="shared" ref="W34:AH34" si="44">$U$34*12*W38</f>
        <v>1314.6119999999999</v>
      </c>
      <c r="X34" s="25">
        <f t="shared" si="44"/>
        <v>1883.6999999999998</v>
      </c>
      <c r="Y34" s="25">
        <f t="shared" si="44"/>
        <v>1918.8</v>
      </c>
      <c r="Z34" s="25">
        <f t="shared" si="44"/>
        <v>1949.2199999999998</v>
      </c>
      <c r="AA34" s="25">
        <f t="shared" si="44"/>
        <v>2554.8119999999999</v>
      </c>
      <c r="AB34" s="25">
        <f t="shared" si="44"/>
        <v>2580.0839999999998</v>
      </c>
      <c r="AC34" s="25">
        <f t="shared" si="44"/>
        <v>1791.9719999999998</v>
      </c>
      <c r="AD34" s="25">
        <f t="shared" si="44"/>
        <v>2712.5279999999998</v>
      </c>
      <c r="AE34" s="25">
        <f t="shared" si="44"/>
        <v>1943.1359999999997</v>
      </c>
      <c r="AF34" s="25">
        <f t="shared" si="44"/>
        <v>1978.2359999999999</v>
      </c>
      <c r="AG34" s="25">
        <f t="shared" si="44"/>
        <v>1566.864</v>
      </c>
      <c r="AH34" s="25">
        <f t="shared" si="44"/>
        <v>2608.6319999999996</v>
      </c>
      <c r="AI34" s="39">
        <v>0.39</v>
      </c>
      <c r="AJ34" s="25">
        <f>$U$34*12*AJ38</f>
        <v>3539.0160000000001</v>
      </c>
      <c r="AK34" s="67" t="s">
        <v>77</v>
      </c>
      <c r="AL34" s="39" t="s">
        <v>6</v>
      </c>
      <c r="AM34" s="39">
        <v>0.33</v>
      </c>
      <c r="AN34" s="25">
        <f>$AM$34*12*AN38</f>
        <v>2379.5639999999999</v>
      </c>
      <c r="AO34" s="67" t="s">
        <v>77</v>
      </c>
      <c r="AP34" s="39" t="s">
        <v>6</v>
      </c>
      <c r="AQ34" s="39">
        <v>0.39</v>
      </c>
      <c r="AR34" s="25">
        <f>$AQ$34*12*AR38</f>
        <v>2407.8599999999997</v>
      </c>
      <c r="AS34" s="83"/>
      <c r="AT34" s="83"/>
      <c r="AU34" s="83"/>
      <c r="AV34" s="83"/>
    </row>
    <row r="35" spans="1:48" s="75" customFormat="1" x14ac:dyDescent="0.2">
      <c r="A35" s="40" t="s">
        <v>41</v>
      </c>
      <c r="B35" s="65" t="s">
        <v>46</v>
      </c>
      <c r="C35" s="71">
        <f>2.78+0.15</f>
        <v>2.9299999999999997</v>
      </c>
      <c r="D35" s="76">
        <f t="shared" ref="D35:P35" si="45">$C$35*12*D38</f>
        <v>14239.8</v>
      </c>
      <c r="E35" s="76">
        <f t="shared" si="45"/>
        <v>14826.971999999998</v>
      </c>
      <c r="F35" s="76">
        <f t="shared" si="45"/>
        <v>25410.131999999998</v>
      </c>
      <c r="G35" s="76">
        <f t="shared" si="45"/>
        <v>18223.427999999996</v>
      </c>
      <c r="H35" s="76">
        <f t="shared" si="45"/>
        <v>25399.583999999995</v>
      </c>
      <c r="I35" s="76">
        <f t="shared" si="45"/>
        <v>10435.487999999999</v>
      </c>
      <c r="J35" s="76">
        <f t="shared" si="45"/>
        <v>14355.828</v>
      </c>
      <c r="K35" s="76">
        <f t="shared" si="45"/>
        <v>11606.315999999999</v>
      </c>
      <c r="L35" s="76">
        <f t="shared" si="45"/>
        <v>16447.847999999998</v>
      </c>
      <c r="M35" s="76">
        <f t="shared" si="45"/>
        <v>16328.303999999998</v>
      </c>
      <c r="N35" s="76">
        <f t="shared" si="45"/>
        <v>16781.867999999999</v>
      </c>
      <c r="O35" s="76">
        <f t="shared" si="45"/>
        <v>12840.431999999999</v>
      </c>
      <c r="P35" s="76">
        <f t="shared" si="45"/>
        <v>15048.479999999998</v>
      </c>
      <c r="Q35" s="71">
        <f>2.78+0.15+0.87</f>
        <v>3.8</v>
      </c>
      <c r="R35" s="76">
        <f>Q35*12*R38</f>
        <v>28294.799999999996</v>
      </c>
      <c r="S35" s="77" t="s">
        <v>41</v>
      </c>
      <c r="T35" s="66" t="s">
        <v>46</v>
      </c>
      <c r="U35" s="71">
        <f>2.52+0.15</f>
        <v>2.67</v>
      </c>
      <c r="V35" s="76">
        <f t="shared" ref="V35:AH35" si="46">$U$35*12*V38</f>
        <v>13168.44</v>
      </c>
      <c r="W35" s="76">
        <f t="shared" si="46"/>
        <v>9000.0359999999982</v>
      </c>
      <c r="X35" s="76">
        <f t="shared" si="46"/>
        <v>12896.1</v>
      </c>
      <c r="Y35" s="76">
        <f t="shared" si="46"/>
        <v>13136.4</v>
      </c>
      <c r="Z35" s="76">
        <f t="shared" si="46"/>
        <v>13344.66</v>
      </c>
      <c r="AA35" s="76">
        <f t="shared" si="46"/>
        <v>17490.635999999999</v>
      </c>
      <c r="AB35" s="76">
        <f t="shared" si="46"/>
        <v>17663.651999999998</v>
      </c>
      <c r="AC35" s="76">
        <f t="shared" si="46"/>
        <v>12268.115999999998</v>
      </c>
      <c r="AD35" s="76">
        <f t="shared" si="46"/>
        <v>18570.384000000002</v>
      </c>
      <c r="AE35" s="76">
        <f t="shared" si="46"/>
        <v>13303.008</v>
      </c>
      <c r="AF35" s="76">
        <f t="shared" si="46"/>
        <v>13543.307999999999</v>
      </c>
      <c r="AG35" s="76">
        <f t="shared" si="46"/>
        <v>10726.992</v>
      </c>
      <c r="AH35" s="76">
        <f t="shared" si="46"/>
        <v>17859.095999999998</v>
      </c>
      <c r="AI35" s="71">
        <f>2.52+0.87+0.15</f>
        <v>3.54</v>
      </c>
      <c r="AJ35" s="76">
        <f>AI35*12*AJ38</f>
        <v>32123.376000000004</v>
      </c>
      <c r="AK35" s="77" t="s">
        <v>41</v>
      </c>
      <c r="AL35" s="66" t="s">
        <v>46</v>
      </c>
      <c r="AM35" s="71">
        <f>2.48+0.15</f>
        <v>2.63</v>
      </c>
      <c r="AN35" s="76">
        <f>$AM$35*12*AN38</f>
        <v>18964.403999999999</v>
      </c>
      <c r="AO35" s="77" t="s">
        <v>41</v>
      </c>
      <c r="AP35" s="66" t="s">
        <v>46</v>
      </c>
      <c r="AQ35" s="71">
        <f>2.32+0.15</f>
        <v>2.4699999999999998</v>
      </c>
      <c r="AR35" s="76">
        <f>$AQ$35*12*AR38</f>
        <v>15249.779999999999</v>
      </c>
      <c r="AS35" s="83"/>
      <c r="AT35" s="83"/>
      <c r="AU35" s="83"/>
      <c r="AV35" s="83"/>
    </row>
    <row r="36" spans="1:48" s="26" customFormat="1" x14ac:dyDescent="0.2">
      <c r="A36" s="40" t="s">
        <v>42</v>
      </c>
      <c r="B36" s="38" t="s">
        <v>46</v>
      </c>
      <c r="C36" s="71">
        <v>0.65</v>
      </c>
      <c r="D36" s="76">
        <f t="shared" ref="D36:P36" si="47">$C$36*12*D38</f>
        <v>3159.0000000000005</v>
      </c>
      <c r="E36" s="76">
        <f t="shared" si="47"/>
        <v>3289.26</v>
      </c>
      <c r="F36" s="76">
        <f t="shared" si="47"/>
        <v>5637.0600000000013</v>
      </c>
      <c r="G36" s="76">
        <f t="shared" si="47"/>
        <v>4042.7400000000002</v>
      </c>
      <c r="H36" s="76">
        <f t="shared" si="47"/>
        <v>5634.72</v>
      </c>
      <c r="I36" s="76">
        <f t="shared" si="47"/>
        <v>2315.0400000000004</v>
      </c>
      <c r="J36" s="76">
        <f t="shared" si="47"/>
        <v>3184.7400000000002</v>
      </c>
      <c r="K36" s="76">
        <v>0</v>
      </c>
      <c r="L36" s="76">
        <v>0</v>
      </c>
      <c r="M36" s="76">
        <v>0</v>
      </c>
      <c r="N36" s="76">
        <v>0</v>
      </c>
      <c r="O36" s="76">
        <f t="shared" si="47"/>
        <v>2848.56</v>
      </c>
      <c r="P36" s="76">
        <f t="shared" si="47"/>
        <v>3338.4</v>
      </c>
      <c r="Q36" s="71">
        <v>0.65</v>
      </c>
      <c r="R36" s="76">
        <v>0</v>
      </c>
      <c r="S36" s="77" t="s">
        <v>58</v>
      </c>
      <c r="T36" s="39" t="s">
        <v>46</v>
      </c>
      <c r="U36" s="71">
        <v>0.65</v>
      </c>
      <c r="V36" s="78">
        <f>$U$36*12*V38</f>
        <v>3205.8</v>
      </c>
      <c r="W36" s="78">
        <f t="shared" ref="W36:AH36" si="48">$U$36*12*W38</f>
        <v>2191.02</v>
      </c>
      <c r="X36" s="78">
        <f t="shared" si="48"/>
        <v>3139.5000000000005</v>
      </c>
      <c r="Y36" s="78">
        <f t="shared" si="48"/>
        <v>3198.0000000000005</v>
      </c>
      <c r="Z36" s="78">
        <f t="shared" si="48"/>
        <v>3248.7000000000003</v>
      </c>
      <c r="AA36" s="78">
        <v>0</v>
      </c>
      <c r="AB36" s="78">
        <v>0</v>
      </c>
      <c r="AC36" s="78">
        <f t="shared" si="48"/>
        <v>2986.62</v>
      </c>
      <c r="AD36" s="78">
        <f t="shared" si="48"/>
        <v>4520.880000000001</v>
      </c>
      <c r="AE36" s="78">
        <f t="shared" si="48"/>
        <v>3238.5600000000004</v>
      </c>
      <c r="AF36" s="78">
        <f t="shared" si="48"/>
        <v>3297.0600000000004</v>
      </c>
      <c r="AG36" s="78">
        <f t="shared" si="48"/>
        <v>2611.4400000000005</v>
      </c>
      <c r="AH36" s="78">
        <f t="shared" si="48"/>
        <v>4347.72</v>
      </c>
      <c r="AI36" s="71">
        <v>0.65</v>
      </c>
      <c r="AJ36" s="78">
        <f>$U$36*12*AJ38</f>
        <v>5898.3600000000006</v>
      </c>
      <c r="AK36" s="77" t="s">
        <v>42</v>
      </c>
      <c r="AL36" s="39" t="s">
        <v>46</v>
      </c>
      <c r="AM36" s="71">
        <v>0.65</v>
      </c>
      <c r="AN36" s="78">
        <f>AM36*12*AN38</f>
        <v>4687.0200000000004</v>
      </c>
      <c r="AO36" s="77" t="s">
        <v>58</v>
      </c>
      <c r="AP36" s="39" t="s">
        <v>46</v>
      </c>
      <c r="AQ36" s="71">
        <v>0.65</v>
      </c>
      <c r="AR36" s="78">
        <f>AQ36*12*AR38</f>
        <v>4013.1000000000004</v>
      </c>
      <c r="AS36" s="83"/>
      <c r="AT36" s="83"/>
      <c r="AU36" s="83"/>
      <c r="AV36" s="83"/>
    </row>
    <row r="37" spans="1:48" s="80" customFormat="1" x14ac:dyDescent="0.2">
      <c r="A37" s="35" t="s">
        <v>2</v>
      </c>
      <c r="B37" s="41"/>
      <c r="C37" s="64"/>
      <c r="D37" s="11">
        <f>D35+D29+D25+D14+D9+D36</f>
        <v>108135</v>
      </c>
      <c r="E37" s="11">
        <f t="shared" ref="E37:P37" si="49">E35+E29+E25+E14+E9+E36</f>
        <v>112593.89999999998</v>
      </c>
      <c r="F37" s="11">
        <f t="shared" si="49"/>
        <v>192960.9</v>
      </c>
      <c r="G37" s="11">
        <f t="shared" si="49"/>
        <v>138386.09999999995</v>
      </c>
      <c r="H37" s="11">
        <f t="shared" si="49"/>
        <v>192880.8</v>
      </c>
      <c r="I37" s="11">
        <f t="shared" si="49"/>
        <v>79245.599999999991</v>
      </c>
      <c r="J37" s="11">
        <f t="shared" si="49"/>
        <v>109016.1</v>
      </c>
      <c r="K37" s="11">
        <f t="shared" si="49"/>
        <v>85561.920000000013</v>
      </c>
      <c r="L37" s="11">
        <f t="shared" si="49"/>
        <v>121253.75999999997</v>
      </c>
      <c r="M37" s="11">
        <f t="shared" si="49"/>
        <v>120372.48</v>
      </c>
      <c r="N37" s="11">
        <f t="shared" si="49"/>
        <v>123716.15999999999</v>
      </c>
      <c r="O37" s="11">
        <f t="shared" si="49"/>
        <v>97508.4</v>
      </c>
      <c r="P37" s="11">
        <f t="shared" si="49"/>
        <v>114275.99999999997</v>
      </c>
      <c r="Q37" s="64"/>
      <c r="R37" s="11">
        <f>R35+R29+R25+R14+R9+R36</f>
        <v>203052.41999999998</v>
      </c>
      <c r="S37" s="79" t="s">
        <v>2</v>
      </c>
      <c r="T37" s="64"/>
      <c r="U37" s="64"/>
      <c r="V37" s="11">
        <f>V35+V29+V25+V14+V9+V36</f>
        <v>101106.00000000001</v>
      </c>
      <c r="W37" s="11">
        <f t="shared" ref="W37:AH37" si="50">W35+W29+W25+W14+W9+W36</f>
        <v>69101.399999999994</v>
      </c>
      <c r="X37" s="11">
        <f t="shared" si="50"/>
        <v>99015</v>
      </c>
      <c r="Y37" s="11">
        <f t="shared" si="50"/>
        <v>100860</v>
      </c>
      <c r="Z37" s="11">
        <f t="shared" si="50"/>
        <v>102459</v>
      </c>
      <c r="AA37" s="11">
        <f t="shared" si="50"/>
        <v>130033.37999999999</v>
      </c>
      <c r="AB37" s="11">
        <f t="shared" si="50"/>
        <v>131319.66</v>
      </c>
      <c r="AC37" s="11">
        <f t="shared" si="50"/>
        <v>94193.4</v>
      </c>
      <c r="AD37" s="11">
        <f t="shared" si="50"/>
        <v>142581.6</v>
      </c>
      <c r="AE37" s="11">
        <f t="shared" si="50"/>
        <v>102139.19999999998</v>
      </c>
      <c r="AF37" s="11">
        <f t="shared" si="50"/>
        <v>103984.2</v>
      </c>
      <c r="AG37" s="11">
        <f t="shared" si="50"/>
        <v>82360.800000000017</v>
      </c>
      <c r="AH37" s="11">
        <f t="shared" si="50"/>
        <v>137120.4</v>
      </c>
      <c r="AI37" s="64"/>
      <c r="AJ37" s="11">
        <f>AJ35+AJ29+AJ25+AJ14+AJ9+AJ36</f>
        <v>237477.04800000001</v>
      </c>
      <c r="AK37" s="79" t="s">
        <v>2</v>
      </c>
      <c r="AL37" s="64"/>
      <c r="AM37" s="64"/>
      <c r="AN37" s="11">
        <f t="shared" ref="AN37" si="51">AN35+AN29+AN25+AN14+AN9+AN36</f>
        <v>131669.20799999998</v>
      </c>
      <c r="AO37" s="79" t="s">
        <v>2</v>
      </c>
      <c r="AP37" s="64"/>
      <c r="AQ37" s="64"/>
      <c r="AR37" s="11">
        <f t="shared" ref="AR37" si="52">AR35+AR29+AR25+AR14+AR9+AR36</f>
        <v>104834.52000000002</v>
      </c>
      <c r="AS37" s="84">
        <f>AR37+AN37+AJ37+AH37+AG37+AF37+AE37+AD37+AC37+AB37+AA37+Z37+Y37+X37+W37+V37+R37+P37+O37+N37+M37+L37+K37+J37+I37+H37+G37+F37+E37+D37</f>
        <v>3669214.3559999992</v>
      </c>
      <c r="AT37" s="85">
        <f>AS37/12</f>
        <v>305767.86299999995</v>
      </c>
      <c r="AU37" s="85">
        <f>AT37*5/100</f>
        <v>15288.393149999996</v>
      </c>
      <c r="AV37" s="85"/>
    </row>
    <row r="38" spans="1:48" s="2" customFormat="1" ht="15.75" customHeight="1" x14ac:dyDescent="0.2">
      <c r="A38" s="35" t="s">
        <v>1</v>
      </c>
      <c r="B38" s="41"/>
      <c r="C38" s="34"/>
      <c r="D38" s="53">
        <v>405</v>
      </c>
      <c r="E38" s="53">
        <v>421.7</v>
      </c>
      <c r="F38" s="53">
        <v>722.7</v>
      </c>
      <c r="G38" s="53">
        <v>518.29999999999995</v>
      </c>
      <c r="H38" s="53">
        <v>722.4</v>
      </c>
      <c r="I38" s="53">
        <v>296.8</v>
      </c>
      <c r="J38" s="53">
        <v>408.3</v>
      </c>
      <c r="K38" s="53">
        <v>330.1</v>
      </c>
      <c r="L38" s="53">
        <v>467.8</v>
      </c>
      <c r="M38" s="53">
        <v>464.4</v>
      </c>
      <c r="N38" s="53">
        <v>477.3</v>
      </c>
      <c r="O38" s="53">
        <v>365.2</v>
      </c>
      <c r="P38" s="53">
        <v>428</v>
      </c>
      <c r="Q38" s="34"/>
      <c r="R38" s="53">
        <v>620.5</v>
      </c>
      <c r="S38" s="79" t="s">
        <v>1</v>
      </c>
      <c r="T38" s="64"/>
      <c r="U38" s="34"/>
      <c r="V38" s="23">
        <v>411</v>
      </c>
      <c r="W38" s="23">
        <v>280.89999999999998</v>
      </c>
      <c r="X38" s="23">
        <v>402.5</v>
      </c>
      <c r="Y38" s="23">
        <v>410</v>
      </c>
      <c r="Z38" s="23">
        <v>416.5</v>
      </c>
      <c r="AA38" s="23">
        <v>545.9</v>
      </c>
      <c r="AB38" s="23">
        <v>551.29999999999995</v>
      </c>
      <c r="AC38" s="23">
        <v>382.9</v>
      </c>
      <c r="AD38" s="23">
        <v>579.6</v>
      </c>
      <c r="AE38" s="23">
        <v>415.2</v>
      </c>
      <c r="AF38" s="23">
        <v>422.7</v>
      </c>
      <c r="AG38" s="23">
        <v>334.8</v>
      </c>
      <c r="AH38" s="23">
        <v>557.4</v>
      </c>
      <c r="AI38" s="34"/>
      <c r="AJ38" s="23">
        <v>756.2</v>
      </c>
      <c r="AK38" s="79" t="s">
        <v>1</v>
      </c>
      <c r="AL38" s="64"/>
      <c r="AM38" s="34"/>
      <c r="AN38" s="52">
        <v>600.9</v>
      </c>
      <c r="AO38" s="79" t="s">
        <v>1</v>
      </c>
      <c r="AP38" s="64"/>
      <c r="AQ38" s="34"/>
      <c r="AR38" s="51">
        <v>514.5</v>
      </c>
      <c r="AS38" s="84">
        <f>AR38+AN38+AJ38+AH38+AG38+AF38+AE38+AD38+AC38+AB38+AA38+Z38+Y38+X38+W38+V38+R38+P38+O38+N38+M38+L38+K38+J38+I38+H38+G38+F38+E38+D38</f>
        <v>14230.799999999997</v>
      </c>
      <c r="AT38" s="86"/>
      <c r="AU38" s="86">
        <f>AS38*80*70/100</f>
        <v>796924.79999999981</v>
      </c>
      <c r="AV38" s="86"/>
    </row>
    <row r="39" spans="1:48" s="2" customFormat="1" ht="25.5" customHeight="1" x14ac:dyDescent="0.2">
      <c r="A39" s="35" t="s">
        <v>47</v>
      </c>
      <c r="B39" s="42"/>
      <c r="C39" s="34"/>
      <c r="D39" s="12">
        <f>D37 /12/D38</f>
        <v>22.25</v>
      </c>
      <c r="E39" s="12">
        <f t="shared" ref="E39:P39" si="53">E37 /12/E38</f>
        <v>22.249999999999996</v>
      </c>
      <c r="F39" s="12">
        <f t="shared" si="53"/>
        <v>22.249999999999996</v>
      </c>
      <c r="G39" s="12">
        <f t="shared" si="53"/>
        <v>22.249999999999993</v>
      </c>
      <c r="H39" s="12">
        <f t="shared" si="53"/>
        <v>22.25</v>
      </c>
      <c r="I39" s="12">
        <f t="shared" si="53"/>
        <v>22.249999999999996</v>
      </c>
      <c r="J39" s="12">
        <f t="shared" si="53"/>
        <v>22.250000000000004</v>
      </c>
      <c r="K39" s="12">
        <f t="shared" si="53"/>
        <v>21.6</v>
      </c>
      <c r="L39" s="12">
        <f t="shared" si="53"/>
        <v>21.599999999999994</v>
      </c>
      <c r="M39" s="12">
        <f t="shared" si="53"/>
        <v>21.599999999999998</v>
      </c>
      <c r="N39" s="12">
        <f t="shared" si="53"/>
        <v>21.599999999999998</v>
      </c>
      <c r="O39" s="12">
        <f t="shared" si="53"/>
        <v>22.25</v>
      </c>
      <c r="P39" s="12">
        <f t="shared" si="53"/>
        <v>22.249999999999996</v>
      </c>
      <c r="Q39" s="34"/>
      <c r="R39" s="12">
        <f>R37 /12/R38</f>
        <v>27.27</v>
      </c>
      <c r="S39" s="35" t="s">
        <v>59</v>
      </c>
      <c r="T39" s="34"/>
      <c r="U39" s="34"/>
      <c r="V39" s="12">
        <f t="shared" ref="V39:AH39" si="54">V37/12/V38</f>
        <v>20.500000000000004</v>
      </c>
      <c r="W39" s="12">
        <f t="shared" si="54"/>
        <v>20.5</v>
      </c>
      <c r="X39" s="12">
        <f t="shared" si="54"/>
        <v>20.5</v>
      </c>
      <c r="Y39" s="12">
        <f t="shared" si="54"/>
        <v>20.5</v>
      </c>
      <c r="Z39" s="12">
        <f t="shared" si="54"/>
        <v>20.5</v>
      </c>
      <c r="AA39" s="12">
        <f t="shared" si="54"/>
        <v>19.850000000000001</v>
      </c>
      <c r="AB39" s="12">
        <f t="shared" si="54"/>
        <v>19.850000000000001</v>
      </c>
      <c r="AC39" s="12">
        <f t="shared" si="54"/>
        <v>20.5</v>
      </c>
      <c r="AD39" s="12">
        <f t="shared" si="54"/>
        <v>20.5</v>
      </c>
      <c r="AE39" s="12">
        <f t="shared" si="54"/>
        <v>20.499999999999996</v>
      </c>
      <c r="AF39" s="12">
        <f t="shared" si="54"/>
        <v>20.5</v>
      </c>
      <c r="AG39" s="12">
        <f t="shared" si="54"/>
        <v>20.500000000000004</v>
      </c>
      <c r="AH39" s="12">
        <f t="shared" si="54"/>
        <v>20.5</v>
      </c>
      <c r="AI39" s="34"/>
      <c r="AJ39" s="12">
        <f>AJ37/12/AJ38</f>
        <v>26.169999999999998</v>
      </c>
      <c r="AK39" s="35" t="s">
        <v>59</v>
      </c>
      <c r="AL39" s="34"/>
      <c r="AM39" s="34"/>
      <c r="AN39" s="12">
        <f t="shared" ref="AN39" si="55">AN37 /12/AN38</f>
        <v>18.259999999999998</v>
      </c>
      <c r="AO39" s="35" t="s">
        <v>59</v>
      </c>
      <c r="AP39" s="34"/>
      <c r="AQ39" s="34"/>
      <c r="AR39" s="12">
        <f t="shared" ref="AR39" si="56">AR37/12/AR38</f>
        <v>16.98</v>
      </c>
      <c r="AS39" s="86"/>
      <c r="AT39" s="86"/>
      <c r="AU39" s="86"/>
      <c r="AV39" s="86"/>
    </row>
    <row r="40" spans="1:48" s="2" customFormat="1" ht="15.75" customHeight="1" x14ac:dyDescent="0.2">
      <c r="A40" s="15"/>
      <c r="B40" s="18"/>
      <c r="C40" s="18"/>
      <c r="D40" s="16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18"/>
      <c r="R40" s="81"/>
      <c r="S40" s="18"/>
      <c r="T40" s="18"/>
      <c r="U40" s="18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18"/>
      <c r="AJ40" s="81"/>
      <c r="AK40" s="18"/>
      <c r="AL40" s="18"/>
      <c r="AM40" s="18"/>
      <c r="AN40" s="81"/>
      <c r="AO40" s="26"/>
      <c r="AP40" s="26"/>
      <c r="AQ40" s="81"/>
      <c r="AR40" s="81"/>
      <c r="AS40" s="86"/>
      <c r="AT40" s="86"/>
      <c r="AU40" s="86"/>
      <c r="AV40" s="86"/>
    </row>
    <row r="41" spans="1:48" s="2" customFormat="1" ht="25.5" customHeight="1" x14ac:dyDescent="0.2">
      <c r="A41" s="15"/>
      <c r="B41" s="18"/>
      <c r="C41" s="18"/>
      <c r="D41" s="16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18"/>
      <c r="R41" s="81"/>
      <c r="S41" s="18"/>
      <c r="T41" s="18"/>
      <c r="U41" s="18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18"/>
      <c r="AJ41" s="81"/>
      <c r="AK41" s="18"/>
      <c r="AL41" s="18"/>
      <c r="AM41" s="18"/>
      <c r="AN41" s="81"/>
      <c r="AO41" s="26"/>
      <c r="AP41" s="26"/>
      <c r="AQ41" s="81"/>
      <c r="AR41" s="81"/>
      <c r="AS41" s="86"/>
      <c r="AT41" s="86"/>
      <c r="AU41" s="86"/>
      <c r="AV41" s="86"/>
    </row>
    <row r="42" spans="1:48" s="26" customFormat="1" ht="12.75" customHeight="1" x14ac:dyDescent="0.2">
      <c r="A42" s="82"/>
      <c r="B42" s="28"/>
      <c r="C42" s="28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28"/>
      <c r="R42" s="81"/>
      <c r="S42" s="28"/>
      <c r="T42" s="28"/>
      <c r="U42" s="28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28"/>
      <c r="AJ42" s="81"/>
      <c r="AK42" s="28"/>
      <c r="AL42" s="28"/>
      <c r="AM42" s="28"/>
      <c r="AN42" s="81"/>
      <c r="AQ42" s="81"/>
      <c r="AR42" s="81"/>
      <c r="AS42" s="83"/>
      <c r="AT42" s="83"/>
      <c r="AU42" s="83"/>
      <c r="AV42" s="83"/>
    </row>
    <row r="43" spans="1:48" s="26" customFormat="1" ht="12.75" hidden="1" customHeight="1" x14ac:dyDescent="0.2">
      <c r="A43" s="82"/>
      <c r="B43" s="28"/>
      <c r="C43" s="28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28"/>
      <c r="R43" s="81"/>
      <c r="S43" s="28"/>
      <c r="T43" s="28"/>
      <c r="U43" s="28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28"/>
      <c r="AJ43" s="81"/>
      <c r="AK43" s="28"/>
      <c r="AL43" s="28"/>
      <c r="AM43" s="28"/>
      <c r="AN43" s="81"/>
      <c r="AO43" s="81"/>
      <c r="AP43" s="81"/>
      <c r="AQ43" s="81"/>
      <c r="AR43" s="81"/>
    </row>
    <row r="44" spans="1:48" s="26" customFormat="1" x14ac:dyDescent="0.2">
      <c r="A44" s="82"/>
      <c r="B44" s="28"/>
      <c r="C44" s="28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28"/>
      <c r="R44" s="81"/>
      <c r="S44" s="28"/>
      <c r="T44" s="28"/>
      <c r="U44" s="28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28"/>
      <c r="AJ44" s="81"/>
      <c r="AK44" s="28"/>
      <c r="AL44" s="28"/>
      <c r="AM44" s="28"/>
      <c r="AN44" s="81"/>
      <c r="AO44" s="81"/>
      <c r="AP44" s="81"/>
      <c r="AQ44" s="81"/>
      <c r="AR44" s="81"/>
    </row>
    <row r="45" spans="1:48" s="26" customFormat="1" x14ac:dyDescent="0.2">
      <c r="A45" s="82"/>
      <c r="B45" s="28"/>
      <c r="C45" s="28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28"/>
      <c r="R45" s="81"/>
      <c r="S45" s="28"/>
      <c r="T45" s="28"/>
      <c r="U45" s="28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28"/>
      <c r="AJ45" s="81"/>
      <c r="AK45" s="28"/>
      <c r="AL45" s="28"/>
      <c r="AM45" s="28"/>
      <c r="AN45" s="81"/>
      <c r="AO45" s="81"/>
      <c r="AP45" s="81"/>
      <c r="AQ45" s="81"/>
      <c r="AR45" s="81"/>
    </row>
    <row r="46" spans="1:48" s="1" customFormat="1" x14ac:dyDescent="0.2">
      <c r="A46" s="6" t="s">
        <v>0</v>
      </c>
      <c r="B46" s="17"/>
      <c r="C46" s="1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17"/>
      <c r="R46" s="7"/>
      <c r="S46" s="28"/>
      <c r="T46" s="17"/>
      <c r="U46" s="1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17"/>
      <c r="AJ46" s="7"/>
      <c r="AK46" s="17"/>
      <c r="AL46" s="28"/>
      <c r="AM46" s="17"/>
      <c r="AN46" s="7"/>
      <c r="AO46" s="7"/>
      <c r="AP46" s="7"/>
      <c r="AQ46" s="7"/>
      <c r="AR46" s="7"/>
    </row>
    <row r="47" spans="1:48" s="1" customFormat="1" x14ac:dyDescent="0.2">
      <c r="A47" s="6"/>
      <c r="B47" s="17"/>
      <c r="C47" s="1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17"/>
      <c r="R47" s="7"/>
      <c r="S47" s="28"/>
      <c r="T47" s="17"/>
      <c r="U47" s="1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17"/>
      <c r="AJ47" s="7"/>
      <c r="AK47" s="17"/>
      <c r="AL47" s="28"/>
      <c r="AM47" s="17"/>
      <c r="AN47" s="7"/>
      <c r="AO47" s="7"/>
      <c r="AP47" s="7"/>
      <c r="AQ47" s="7"/>
      <c r="AR47" s="7"/>
    </row>
  </sheetData>
  <mergeCells count="12">
    <mergeCell ref="A6:A8"/>
    <mergeCell ref="B7:B8"/>
    <mergeCell ref="C7:C8"/>
    <mergeCell ref="U7:U8"/>
    <mergeCell ref="AL7:AL8"/>
    <mergeCell ref="Q7:Q8"/>
    <mergeCell ref="AM7:AM8"/>
    <mergeCell ref="AO7:AO8"/>
    <mergeCell ref="AP7:AP8"/>
    <mergeCell ref="AQ7:AQ8"/>
    <mergeCell ref="AI7:AI8"/>
    <mergeCell ref="AK7:AK8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2016-10-03T08:03:42Z</cp:lastPrinted>
  <dcterms:created xsi:type="dcterms:W3CDTF">2013-04-24T10:34:01Z</dcterms:created>
  <dcterms:modified xsi:type="dcterms:W3CDTF">2017-12-26T11:13:47Z</dcterms:modified>
</cp:coreProperties>
</file>